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.arkania\Desktop\ZURH\"/>
    </mc:Choice>
  </mc:AlternateContent>
  <xr:revisionPtr revIDLastSave="0" documentId="13_ncr:1_{67669FBD-834E-4CF9-8BD7-B35639AD5001}" xr6:coauthVersionLast="47" xr6:coauthVersionMax="47" xr10:uidLastSave="{00000000-0000-0000-0000-000000000000}"/>
  <bookViews>
    <workbookView xWindow="-110" yWindow="-110" windowWidth="19420" windowHeight="10420" tabRatio="964" activeTab="5" xr2:uid="{00000000-000D-0000-FFFF-FFFF00000000}"/>
  </bookViews>
  <sheets>
    <sheet name="კრებსითი " sheetId="27" r:id="rId1"/>
    <sheet name="I სართ. ეს" sheetId="24" r:id="rId2"/>
    <sheet name="IIსართ.  ეს" sheetId="26" r:id="rId3"/>
    <sheet name="III სართ. ეს" sheetId="21" r:id="rId4"/>
    <sheet name="IV სართ. ეს" sheetId="15" r:id="rId5"/>
    <sheet name="V სართ. ეს" sheetId="23" r:id="rId6"/>
  </sheets>
  <definedNames>
    <definedName name="_xlnm._FilterDatabase" localSheetId="3" hidden="1">'III სართ. ეს'!$A$8:$L$82</definedName>
    <definedName name="_xlnm._FilterDatabase" localSheetId="4" hidden="1">'IV სართ. ეს'!$A$8:$L$192</definedName>
    <definedName name="_xlnm._FilterDatabase" localSheetId="5" hidden="1">'V სართ. ეს'!$A$8:$O$174</definedName>
    <definedName name="_xlnm.Print_Area" localSheetId="1">'I სართ. ეს'!$A$1:$K$190</definedName>
    <definedName name="_xlnm.Print_Area" localSheetId="3">'III სართ. ეს'!$A$1:$K$82</definedName>
    <definedName name="_xlnm.Print_Area" localSheetId="2">'IIსართ.  ეს'!$A$1:$K$76</definedName>
    <definedName name="_xlnm.Print_Area" localSheetId="4">'IV სართ. ეს'!$A$1:$K$180</definedName>
    <definedName name="_xlnm.Print_Area" localSheetId="5">'V სართ. ეს'!$A$1:$K$174</definedName>
    <definedName name="_xlnm.Print_Area" localSheetId="0">'კრებსითი '!$A$1:$D$14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27" l="1"/>
  <c r="C8" i="27"/>
  <c r="C5" i="27" l="1"/>
  <c r="C14" i="27" s="1"/>
  <c r="D39" i="24" l="1"/>
  <c r="D73" i="23" l="1"/>
  <c r="J73" i="23" s="1"/>
  <c r="J42" i="23"/>
  <c r="D115" i="23"/>
  <c r="D120" i="15"/>
  <c r="D62" i="26"/>
  <c r="F62" i="26" s="1"/>
  <c r="K62" i="26" s="1"/>
  <c r="J61" i="26"/>
  <c r="H61" i="26"/>
  <c r="F61" i="26"/>
  <c r="J60" i="26"/>
  <c r="H60" i="26"/>
  <c r="F60" i="26"/>
  <c r="J59" i="26"/>
  <c r="H59" i="26"/>
  <c r="F59" i="26"/>
  <c r="J58" i="26"/>
  <c r="H58" i="26"/>
  <c r="F58" i="26"/>
  <c r="J57" i="26"/>
  <c r="H57" i="26"/>
  <c r="F57" i="26"/>
  <c r="H55" i="26"/>
  <c r="F55" i="26"/>
  <c r="D54" i="26"/>
  <c r="J54" i="26" s="1"/>
  <c r="D53" i="26"/>
  <c r="D52" i="26"/>
  <c r="H52" i="26" s="1"/>
  <c r="D51" i="26"/>
  <c r="J51" i="26" s="1"/>
  <c r="J48" i="26"/>
  <c r="H48" i="26"/>
  <c r="F48" i="26"/>
  <c r="F45" i="26"/>
  <c r="K45" i="26" s="1"/>
  <c r="F44" i="26"/>
  <c r="K44" i="26" s="1"/>
  <c r="F41" i="26"/>
  <c r="K41" i="26" s="1"/>
  <c r="F40" i="26"/>
  <c r="K40" i="26" s="1"/>
  <c r="D39" i="26"/>
  <c r="D46" i="26" s="1"/>
  <c r="F46" i="26" s="1"/>
  <c r="K46" i="26" s="1"/>
  <c r="D38" i="26"/>
  <c r="F38" i="26" s="1"/>
  <c r="K38" i="26" s="1"/>
  <c r="D37" i="26"/>
  <c r="F37" i="26" s="1"/>
  <c r="K37" i="26" s="1"/>
  <c r="D36" i="26"/>
  <c r="F36" i="26" s="1"/>
  <c r="K36" i="26" s="1"/>
  <c r="D35" i="26"/>
  <c r="F35" i="26" s="1"/>
  <c r="K35" i="26" s="1"/>
  <c r="D34" i="26"/>
  <c r="F34" i="26" s="1"/>
  <c r="K34" i="26" s="1"/>
  <c r="D33" i="26"/>
  <c r="F33" i="26" s="1"/>
  <c r="K33" i="26" s="1"/>
  <c r="D32" i="26"/>
  <c r="F32" i="26" s="1"/>
  <c r="K32" i="26" s="1"/>
  <c r="D31" i="26"/>
  <c r="F31" i="26" s="1"/>
  <c r="K31" i="26" s="1"/>
  <c r="J30" i="26"/>
  <c r="H30" i="26"/>
  <c r="F28" i="26"/>
  <c r="K28" i="26" s="1"/>
  <c r="D27" i="26"/>
  <c r="H27" i="26" s="1"/>
  <c r="D26" i="26"/>
  <c r="F26" i="26" s="1"/>
  <c r="J25" i="26"/>
  <c r="H25" i="26"/>
  <c r="J21" i="26"/>
  <c r="K21" i="26" s="1"/>
  <c r="J20" i="26"/>
  <c r="H20" i="26"/>
  <c r="J19" i="26"/>
  <c r="H19" i="26"/>
  <c r="H18" i="26"/>
  <c r="K18" i="26" s="1"/>
  <c r="J17" i="26"/>
  <c r="H17" i="26"/>
  <c r="J16" i="26"/>
  <c r="H16" i="26"/>
  <c r="J15" i="26"/>
  <c r="H15" i="26"/>
  <c r="H14" i="26"/>
  <c r="K14" i="26" s="1"/>
  <c r="H13" i="26"/>
  <c r="K13" i="26" s="1"/>
  <c r="J12" i="26"/>
  <c r="H12" i="26"/>
  <c r="J11" i="26"/>
  <c r="H11" i="26"/>
  <c r="J10" i="26"/>
  <c r="H10" i="26"/>
  <c r="J9" i="26"/>
  <c r="H9" i="26"/>
  <c r="D56" i="21"/>
  <c r="H56" i="21" s="1"/>
  <c r="D50" i="21"/>
  <c r="F50" i="21" s="1"/>
  <c r="D26" i="21"/>
  <c r="F26" i="21" s="1"/>
  <c r="K26" i="21" s="1"/>
  <c r="D54" i="21"/>
  <c r="D55" i="21" s="1"/>
  <c r="F55" i="21" s="1"/>
  <c r="K55" i="21" s="1"/>
  <c r="H127" i="24"/>
  <c r="H158" i="24"/>
  <c r="J158" i="24"/>
  <c r="F140" i="24"/>
  <c r="J140" i="24"/>
  <c r="H140" i="24"/>
  <c r="H139" i="24"/>
  <c r="J139" i="24"/>
  <c r="F139" i="24"/>
  <c r="J138" i="24"/>
  <c r="H138" i="24"/>
  <c r="F138" i="24"/>
  <c r="D164" i="24"/>
  <c r="J175" i="24"/>
  <c r="H175" i="24"/>
  <c r="F175" i="24"/>
  <c r="D173" i="24"/>
  <c r="J173" i="24" s="1"/>
  <c r="D172" i="24"/>
  <c r="H172" i="24" s="1"/>
  <c r="D171" i="24"/>
  <c r="H171" i="24" s="1"/>
  <c r="D170" i="24"/>
  <c r="J170" i="24" s="1"/>
  <c r="J169" i="24"/>
  <c r="H169" i="24"/>
  <c r="F169" i="24"/>
  <c r="D165" i="24"/>
  <c r="J159" i="24"/>
  <c r="H159" i="24"/>
  <c r="F159" i="24"/>
  <c r="D155" i="24"/>
  <c r="F155" i="24" s="1"/>
  <c r="K155" i="24" s="1"/>
  <c r="D154" i="24"/>
  <c r="D153" i="24"/>
  <c r="D152" i="24"/>
  <c r="F152" i="24" s="1"/>
  <c r="K152" i="24" s="1"/>
  <c r="J151" i="24"/>
  <c r="H151" i="24"/>
  <c r="D150" i="24"/>
  <c r="F150" i="24" s="1"/>
  <c r="K150" i="24" s="1"/>
  <c r="D149" i="24"/>
  <c r="F149" i="24" s="1"/>
  <c r="K149" i="24" s="1"/>
  <c r="D148" i="24"/>
  <c r="F148" i="24" s="1"/>
  <c r="K148" i="24" s="1"/>
  <c r="D147" i="24"/>
  <c r="F147" i="24" s="1"/>
  <c r="K147" i="24" s="1"/>
  <c r="D146" i="24"/>
  <c r="F146" i="24" s="1"/>
  <c r="K146" i="24" s="1"/>
  <c r="D145" i="24"/>
  <c r="F145" i="24" s="1"/>
  <c r="K145" i="24" s="1"/>
  <c r="D144" i="24"/>
  <c r="F144" i="24" s="1"/>
  <c r="K144" i="24" s="1"/>
  <c r="D143" i="24"/>
  <c r="F143" i="24" s="1"/>
  <c r="K143" i="24" s="1"/>
  <c r="J142" i="24"/>
  <c r="H142" i="24"/>
  <c r="D137" i="24"/>
  <c r="D136" i="24"/>
  <c r="F136" i="24" s="1"/>
  <c r="D135" i="24"/>
  <c r="J135" i="24" s="1"/>
  <c r="D134" i="24"/>
  <c r="J134" i="24" s="1"/>
  <c r="J133" i="24"/>
  <c r="H133" i="24"/>
  <c r="F133" i="24"/>
  <c r="J132" i="24"/>
  <c r="H132" i="24"/>
  <c r="F132" i="24"/>
  <c r="D129" i="24"/>
  <c r="J129" i="24" s="1"/>
  <c r="K129" i="24" s="1"/>
  <c r="J128" i="24"/>
  <c r="H128" i="24"/>
  <c r="H126" i="24"/>
  <c r="J125" i="24"/>
  <c r="H125" i="24"/>
  <c r="J124" i="24"/>
  <c r="H124" i="24"/>
  <c r="D123" i="24"/>
  <c r="J123" i="24" s="1"/>
  <c r="D122" i="24"/>
  <c r="H121" i="24"/>
  <c r="K121" i="24" s="1"/>
  <c r="H120" i="24"/>
  <c r="K120" i="24" s="1"/>
  <c r="J119" i="24"/>
  <c r="H119" i="24"/>
  <c r="J118" i="24"/>
  <c r="H118" i="24"/>
  <c r="J117" i="24"/>
  <c r="H117" i="24"/>
  <c r="J116" i="24"/>
  <c r="H116" i="24"/>
  <c r="J97" i="24"/>
  <c r="H97" i="24"/>
  <c r="F97" i="24"/>
  <c r="D95" i="24"/>
  <c r="J95" i="24" s="1"/>
  <c r="D94" i="24"/>
  <c r="F94" i="24" s="1"/>
  <c r="D93" i="24"/>
  <c r="D92" i="24"/>
  <c r="J92" i="24" s="1"/>
  <c r="J91" i="24"/>
  <c r="H91" i="24"/>
  <c r="F91" i="24"/>
  <c r="D90" i="24"/>
  <c r="D89" i="24"/>
  <c r="F89" i="24" s="1"/>
  <c r="J88" i="24"/>
  <c r="H88" i="24"/>
  <c r="F88" i="24"/>
  <c r="D84" i="24"/>
  <c r="H84" i="24" s="1"/>
  <c r="D82" i="24"/>
  <c r="D83" i="24" s="1"/>
  <c r="F83" i="24" s="1"/>
  <c r="K83" i="24" s="1"/>
  <c r="J80" i="24"/>
  <c r="H80" i="24"/>
  <c r="F80" i="24"/>
  <c r="D68" i="24"/>
  <c r="D72" i="24" s="1"/>
  <c r="D74" i="24" s="1"/>
  <c r="D67" i="24"/>
  <c r="F67" i="24" s="1"/>
  <c r="K67" i="24" s="1"/>
  <c r="D66" i="24"/>
  <c r="F66" i="24" s="1"/>
  <c r="K66" i="24" s="1"/>
  <c r="J65" i="24"/>
  <c r="H65" i="24"/>
  <c r="D64" i="24"/>
  <c r="F64" i="24" s="1"/>
  <c r="K64" i="24" s="1"/>
  <c r="D63" i="24"/>
  <c r="D62" i="24"/>
  <c r="D61" i="24"/>
  <c r="F61" i="24" s="1"/>
  <c r="K61" i="24" s="1"/>
  <c r="J60" i="24"/>
  <c r="H60" i="24"/>
  <c r="D59" i="24"/>
  <c r="F59" i="24" s="1"/>
  <c r="K59" i="24" s="1"/>
  <c r="D58" i="24"/>
  <c r="F58" i="24" s="1"/>
  <c r="K58" i="24" s="1"/>
  <c r="D57" i="24"/>
  <c r="F57" i="24" s="1"/>
  <c r="K57" i="24" s="1"/>
  <c r="D56" i="24"/>
  <c r="F56" i="24" s="1"/>
  <c r="K56" i="24" s="1"/>
  <c r="D55" i="24"/>
  <c r="F55" i="24" s="1"/>
  <c r="K55" i="24" s="1"/>
  <c r="D54" i="24"/>
  <c r="F54" i="24" s="1"/>
  <c r="K54" i="24" s="1"/>
  <c r="D53" i="24"/>
  <c r="F53" i="24" s="1"/>
  <c r="K53" i="24" s="1"/>
  <c r="D52" i="24"/>
  <c r="F52" i="24" s="1"/>
  <c r="K52" i="24" s="1"/>
  <c r="J51" i="24"/>
  <c r="H51" i="24"/>
  <c r="D49" i="24"/>
  <c r="J49" i="24" s="1"/>
  <c r="D48" i="24"/>
  <c r="J48" i="24" s="1"/>
  <c r="D47" i="24"/>
  <c r="D46" i="24"/>
  <c r="H46" i="24" s="1"/>
  <c r="J45" i="24"/>
  <c r="H45" i="24"/>
  <c r="F45" i="24"/>
  <c r="J44" i="24"/>
  <c r="H44" i="24"/>
  <c r="F44" i="24"/>
  <c r="F39" i="24"/>
  <c r="D38" i="24"/>
  <c r="J38" i="24" s="1"/>
  <c r="D37" i="24"/>
  <c r="J36" i="24"/>
  <c r="H36" i="24"/>
  <c r="F36" i="24"/>
  <c r="D29" i="24"/>
  <c r="J29" i="24" s="1"/>
  <c r="K29" i="24" s="1"/>
  <c r="J28" i="24"/>
  <c r="H28" i="24"/>
  <c r="J27" i="24"/>
  <c r="H27" i="24"/>
  <c r="D26" i="24"/>
  <c r="H26" i="24" s="1"/>
  <c r="J24" i="24"/>
  <c r="H24" i="24"/>
  <c r="D23" i="24"/>
  <c r="H22" i="24"/>
  <c r="J20" i="24"/>
  <c r="H20" i="24"/>
  <c r="J19" i="24"/>
  <c r="H19" i="24"/>
  <c r="D18" i="24"/>
  <c r="H18" i="24" s="1"/>
  <c r="D17" i="24"/>
  <c r="H16" i="24"/>
  <c r="K16" i="24" s="1"/>
  <c r="H15" i="24"/>
  <c r="K15" i="24" s="1"/>
  <c r="J14" i="24"/>
  <c r="H14" i="24"/>
  <c r="J13" i="24"/>
  <c r="H13" i="24"/>
  <c r="J12" i="24"/>
  <c r="H12" i="24"/>
  <c r="J11" i="24"/>
  <c r="H11" i="24"/>
  <c r="J10" i="24"/>
  <c r="H10" i="24"/>
  <c r="J162" i="23"/>
  <c r="H162" i="23"/>
  <c r="F162" i="23"/>
  <c r="J161" i="23"/>
  <c r="H161" i="23"/>
  <c r="F161" i="23"/>
  <c r="J160" i="23"/>
  <c r="H160" i="23"/>
  <c r="F160" i="23"/>
  <c r="J159" i="23"/>
  <c r="H159" i="23"/>
  <c r="F159" i="23"/>
  <c r="D158" i="23"/>
  <c r="J158" i="23" s="1"/>
  <c r="J157" i="23"/>
  <c r="H157" i="23"/>
  <c r="F157" i="23"/>
  <c r="J156" i="23"/>
  <c r="H156" i="23"/>
  <c r="F156" i="23"/>
  <c r="J155" i="23"/>
  <c r="H155" i="23"/>
  <c r="F155" i="23"/>
  <c r="J154" i="23"/>
  <c r="H154" i="23"/>
  <c r="F154" i="23"/>
  <c r="J153" i="23"/>
  <c r="H153" i="23"/>
  <c r="F153" i="23"/>
  <c r="J152" i="23"/>
  <c r="H152" i="23"/>
  <c r="F152" i="23"/>
  <c r="J151" i="23"/>
  <c r="H151" i="23"/>
  <c r="F151" i="23"/>
  <c r="J150" i="23"/>
  <c r="H150" i="23"/>
  <c r="F150" i="23"/>
  <c r="J149" i="23"/>
  <c r="H149" i="23"/>
  <c r="F149" i="23"/>
  <c r="J148" i="23"/>
  <c r="H148" i="23"/>
  <c r="F148" i="23"/>
  <c r="J147" i="23"/>
  <c r="H147" i="23"/>
  <c r="F147" i="23"/>
  <c r="J146" i="23"/>
  <c r="H146" i="23"/>
  <c r="F146" i="23"/>
  <c r="J145" i="23"/>
  <c r="H145" i="23"/>
  <c r="F145" i="23"/>
  <c r="J144" i="23"/>
  <c r="H144" i="23"/>
  <c r="F144" i="23"/>
  <c r="J143" i="23"/>
  <c r="H143" i="23"/>
  <c r="F143" i="23"/>
  <c r="J142" i="23"/>
  <c r="H142" i="23"/>
  <c r="F142" i="23"/>
  <c r="J140" i="23"/>
  <c r="H140" i="23"/>
  <c r="F140" i="23"/>
  <c r="J139" i="23"/>
  <c r="H139" i="23"/>
  <c r="F139" i="23"/>
  <c r="J138" i="23"/>
  <c r="H138" i="23"/>
  <c r="F138" i="23"/>
  <c r="J137" i="23"/>
  <c r="H137" i="23"/>
  <c r="F137" i="23"/>
  <c r="J136" i="23"/>
  <c r="H136" i="23"/>
  <c r="F136" i="23"/>
  <c r="J135" i="23"/>
  <c r="H135" i="23"/>
  <c r="F135" i="23"/>
  <c r="J134" i="23"/>
  <c r="H134" i="23"/>
  <c r="F134" i="23"/>
  <c r="J133" i="23"/>
  <c r="H133" i="23"/>
  <c r="F133" i="23"/>
  <c r="J132" i="23"/>
  <c r="H132" i="23"/>
  <c r="F132" i="23"/>
  <c r="J131" i="23"/>
  <c r="H131" i="23"/>
  <c r="F131" i="23"/>
  <c r="J130" i="23"/>
  <c r="H130" i="23"/>
  <c r="F130" i="23"/>
  <c r="J128" i="23"/>
  <c r="H128" i="23"/>
  <c r="F128" i="23"/>
  <c r="D127" i="23"/>
  <c r="J127" i="23" s="1"/>
  <c r="J125" i="23"/>
  <c r="H125" i="23"/>
  <c r="F125" i="23"/>
  <c r="J124" i="23"/>
  <c r="H124" i="23"/>
  <c r="F124" i="23"/>
  <c r="D123" i="23"/>
  <c r="J123" i="23" s="1"/>
  <c r="J120" i="23"/>
  <c r="H120" i="23"/>
  <c r="F120" i="23"/>
  <c r="D119" i="23"/>
  <c r="H119" i="23" s="1"/>
  <c r="D118" i="23"/>
  <c r="J118" i="23" s="1"/>
  <c r="D117" i="23"/>
  <c r="H117" i="23" s="1"/>
  <c r="J116" i="23"/>
  <c r="H116" i="23"/>
  <c r="F116" i="23"/>
  <c r="J111" i="23"/>
  <c r="H111" i="23"/>
  <c r="F111" i="23"/>
  <c r="D109" i="23"/>
  <c r="D107" i="23"/>
  <c r="H107" i="23" s="1"/>
  <c r="D106" i="23"/>
  <c r="J106" i="23" s="1"/>
  <c r="D105" i="23"/>
  <c r="J105" i="23" s="1"/>
  <c r="D104" i="23"/>
  <c r="J104" i="23" s="1"/>
  <c r="J103" i="23"/>
  <c r="H103" i="23"/>
  <c r="F103" i="23"/>
  <c r="D102" i="23"/>
  <c r="J102" i="23" s="1"/>
  <c r="D101" i="23"/>
  <c r="H101" i="23" s="1"/>
  <c r="D100" i="23"/>
  <c r="H100" i="23" s="1"/>
  <c r="D99" i="23"/>
  <c r="J99" i="23" s="1"/>
  <c r="J98" i="23"/>
  <c r="H98" i="23"/>
  <c r="F98" i="23"/>
  <c r="D97" i="23"/>
  <c r="F97" i="23" s="1"/>
  <c r="D96" i="23"/>
  <c r="J96" i="23" s="1"/>
  <c r="D95" i="23"/>
  <c r="H95" i="23" s="1"/>
  <c r="D94" i="23"/>
  <c r="H94" i="23" s="1"/>
  <c r="D93" i="23"/>
  <c r="J93" i="23" s="1"/>
  <c r="D92" i="23"/>
  <c r="J92" i="23" s="1"/>
  <c r="D91" i="23"/>
  <c r="H91" i="23" s="1"/>
  <c r="D90" i="23"/>
  <c r="H90" i="23" s="1"/>
  <c r="J89" i="23"/>
  <c r="H89" i="23"/>
  <c r="F89" i="23"/>
  <c r="D88" i="23"/>
  <c r="H88" i="23" s="1"/>
  <c r="D87" i="23"/>
  <c r="J87" i="23" s="1"/>
  <c r="D86" i="23"/>
  <c r="J86" i="23" s="1"/>
  <c r="D85" i="23"/>
  <c r="J85" i="23" s="1"/>
  <c r="D84" i="23"/>
  <c r="H84" i="23" s="1"/>
  <c r="D83" i="23"/>
  <c r="J83" i="23" s="1"/>
  <c r="D82" i="23"/>
  <c r="J82" i="23" s="1"/>
  <c r="F90" i="23"/>
  <c r="D81" i="23"/>
  <c r="J81" i="23" s="1"/>
  <c r="J80" i="23"/>
  <c r="H80" i="23"/>
  <c r="F80" i="23"/>
  <c r="D79" i="23"/>
  <c r="J79" i="23" s="1"/>
  <c r="D78" i="23"/>
  <c r="H78" i="23" s="1"/>
  <c r="D77" i="23"/>
  <c r="F77" i="23" s="1"/>
  <c r="D76" i="23"/>
  <c r="H76" i="23" s="1"/>
  <c r="D75" i="23"/>
  <c r="J75" i="23" s="1"/>
  <c r="D74" i="23"/>
  <c r="H74" i="23" s="1"/>
  <c r="H73" i="23"/>
  <c r="D72" i="23"/>
  <c r="H72" i="23" s="1"/>
  <c r="J71" i="23"/>
  <c r="H71" i="23"/>
  <c r="F71" i="23"/>
  <c r="D70" i="23"/>
  <c r="J70" i="23" s="1"/>
  <c r="J69" i="23"/>
  <c r="H69" i="23"/>
  <c r="F69" i="23"/>
  <c r="J68" i="23"/>
  <c r="H68" i="23"/>
  <c r="F68" i="23"/>
  <c r="D62" i="23"/>
  <c r="H62" i="23" s="1"/>
  <c r="D61" i="23"/>
  <c r="J61" i="23" s="1"/>
  <c r="D60" i="23"/>
  <c r="J60" i="23" s="1"/>
  <c r="J59" i="23"/>
  <c r="H59" i="23"/>
  <c r="F59" i="23"/>
  <c r="D57" i="23"/>
  <c r="J57" i="23" s="1"/>
  <c r="D55" i="23"/>
  <c r="H55" i="23" s="1"/>
  <c r="D54" i="23"/>
  <c r="J54" i="23" s="1"/>
  <c r="D53" i="23"/>
  <c r="H53" i="23" s="1"/>
  <c r="D52" i="23"/>
  <c r="D58" i="23" s="1"/>
  <c r="J51" i="23"/>
  <c r="H51" i="23"/>
  <c r="F51" i="23"/>
  <c r="J50" i="23"/>
  <c r="H50" i="23"/>
  <c r="F50" i="23"/>
  <c r="D49" i="23"/>
  <c r="H49" i="23" s="1"/>
  <c r="D48" i="23"/>
  <c r="F48" i="23" s="1"/>
  <c r="D47" i="23"/>
  <c r="H47" i="23" s="1"/>
  <c r="D46" i="23"/>
  <c r="J46" i="23" s="1"/>
  <c r="J45" i="23"/>
  <c r="F45" i="23"/>
  <c r="J44" i="23"/>
  <c r="H44" i="23"/>
  <c r="F44" i="23"/>
  <c r="J41" i="23"/>
  <c r="J39" i="23"/>
  <c r="H39" i="23"/>
  <c r="F39" i="23"/>
  <c r="J31" i="23"/>
  <c r="H31" i="23"/>
  <c r="J30" i="23"/>
  <c r="H30" i="23"/>
  <c r="D29" i="23"/>
  <c r="J29" i="23" s="1"/>
  <c r="J28" i="23"/>
  <c r="H28" i="23"/>
  <c r="J27" i="23"/>
  <c r="H27" i="23"/>
  <c r="J26" i="23"/>
  <c r="H26" i="23"/>
  <c r="J25" i="23"/>
  <c r="H25" i="23"/>
  <c r="J21" i="23"/>
  <c r="H21" i="23"/>
  <c r="H20" i="23"/>
  <c r="J19" i="23"/>
  <c r="H19" i="23"/>
  <c r="H17" i="23"/>
  <c r="J15" i="23"/>
  <c r="H15" i="23"/>
  <c r="J14" i="23"/>
  <c r="H14" i="23"/>
  <c r="J13" i="23"/>
  <c r="H13" i="23"/>
  <c r="J12" i="23"/>
  <c r="H12" i="23"/>
  <c r="J11" i="23"/>
  <c r="H11" i="23"/>
  <c r="D10" i="23"/>
  <c r="D122" i="23" s="1"/>
  <c r="D9" i="23"/>
  <c r="J9" i="23" s="1"/>
  <c r="J67" i="21"/>
  <c r="H67" i="21"/>
  <c r="F67" i="21"/>
  <c r="D65" i="21"/>
  <c r="J65" i="21" s="1"/>
  <c r="D64" i="21"/>
  <c r="H64" i="21" s="1"/>
  <c r="J63" i="21"/>
  <c r="H63" i="21"/>
  <c r="F63" i="21"/>
  <c r="D62" i="21"/>
  <c r="F62" i="21" s="1"/>
  <c r="D61" i="21"/>
  <c r="J61" i="21" s="1"/>
  <c r="J60" i="21"/>
  <c r="H60" i="21"/>
  <c r="F60" i="21"/>
  <c r="J52" i="21"/>
  <c r="H52" i="21"/>
  <c r="F52" i="21"/>
  <c r="D49" i="21"/>
  <c r="F49" i="21" s="1"/>
  <c r="K49" i="21" s="1"/>
  <c r="D48" i="21"/>
  <c r="F48" i="21" s="1"/>
  <c r="K48" i="21" s="1"/>
  <c r="J47" i="21"/>
  <c r="H47" i="21"/>
  <c r="D46" i="21"/>
  <c r="F46" i="21" s="1"/>
  <c r="K46" i="21" s="1"/>
  <c r="D45" i="21"/>
  <c r="D44" i="21"/>
  <c r="D43" i="21"/>
  <c r="J42" i="21"/>
  <c r="H42" i="21"/>
  <c r="D41" i="21"/>
  <c r="F41" i="21" s="1"/>
  <c r="K41" i="21" s="1"/>
  <c r="D40" i="21"/>
  <c r="D39" i="21"/>
  <c r="D38" i="21"/>
  <c r="F38" i="21" s="1"/>
  <c r="K38" i="21" s="1"/>
  <c r="J37" i="21"/>
  <c r="H37" i="21"/>
  <c r="D36" i="21"/>
  <c r="F36" i="21" s="1"/>
  <c r="K36" i="21" s="1"/>
  <c r="D35" i="21"/>
  <c r="F35" i="21" s="1"/>
  <c r="K35" i="21" s="1"/>
  <c r="D34" i="21"/>
  <c r="F34" i="21" s="1"/>
  <c r="K34" i="21" s="1"/>
  <c r="D33" i="21"/>
  <c r="F33" i="21" s="1"/>
  <c r="K33" i="21" s="1"/>
  <c r="D32" i="21"/>
  <c r="F32" i="21" s="1"/>
  <c r="K32" i="21" s="1"/>
  <c r="D31" i="21"/>
  <c r="F31" i="21" s="1"/>
  <c r="K31" i="21" s="1"/>
  <c r="D30" i="21"/>
  <c r="F30" i="21" s="1"/>
  <c r="K30" i="21" s="1"/>
  <c r="D29" i="21"/>
  <c r="F29" i="21" s="1"/>
  <c r="K29" i="21" s="1"/>
  <c r="J28" i="21"/>
  <c r="H28" i="21"/>
  <c r="D21" i="21"/>
  <c r="J21" i="21" s="1"/>
  <c r="K21" i="21" s="1"/>
  <c r="J20" i="21"/>
  <c r="H20" i="21"/>
  <c r="J19" i="21"/>
  <c r="H19" i="21"/>
  <c r="J18" i="21"/>
  <c r="H18" i="21"/>
  <c r="J17" i="21"/>
  <c r="H17" i="21"/>
  <c r="J16" i="21"/>
  <c r="H16" i="21"/>
  <c r="J15" i="21"/>
  <c r="H15" i="21"/>
  <c r="J14" i="21"/>
  <c r="H14" i="21"/>
  <c r="J13" i="21"/>
  <c r="H13" i="21"/>
  <c r="J12" i="21"/>
  <c r="H12" i="21"/>
  <c r="J11" i="21"/>
  <c r="H11" i="21"/>
  <c r="J10" i="21"/>
  <c r="H10" i="21"/>
  <c r="H9" i="21"/>
  <c r="K9" i="21" s="1"/>
  <c r="K162" i="23" l="1"/>
  <c r="K160" i="23"/>
  <c r="K161" i="23"/>
  <c r="K28" i="23"/>
  <c r="K19" i="26"/>
  <c r="K20" i="26"/>
  <c r="K11" i="26"/>
  <c r="K31" i="23"/>
  <c r="F76" i="23"/>
  <c r="F88" i="23"/>
  <c r="J76" i="23"/>
  <c r="K26" i="23"/>
  <c r="H106" i="23"/>
  <c r="J55" i="23"/>
  <c r="F95" i="23"/>
  <c r="J90" i="23"/>
  <c r="K90" i="23" s="1"/>
  <c r="H57" i="23"/>
  <c r="F47" i="23"/>
  <c r="J91" i="23"/>
  <c r="K98" i="23"/>
  <c r="F107" i="23"/>
  <c r="H9" i="23"/>
  <c r="K9" i="23" s="1"/>
  <c r="H10" i="23"/>
  <c r="K131" i="23"/>
  <c r="K140" i="23"/>
  <c r="K19" i="23"/>
  <c r="K135" i="23"/>
  <c r="F87" i="23"/>
  <c r="J72" i="23"/>
  <c r="J100" i="23"/>
  <c r="K139" i="23"/>
  <c r="F57" i="23"/>
  <c r="F91" i="23"/>
  <c r="K125" i="23"/>
  <c r="K69" i="23"/>
  <c r="J49" i="23"/>
  <c r="H82" i="23"/>
  <c r="J107" i="23"/>
  <c r="K107" i="23" s="1"/>
  <c r="K138" i="23"/>
  <c r="K12" i="23"/>
  <c r="J16" i="23"/>
  <c r="J17" i="23"/>
  <c r="K17" i="23" s="1"/>
  <c r="F41" i="23"/>
  <c r="K80" i="23"/>
  <c r="F99" i="23"/>
  <c r="J23" i="23"/>
  <c r="H43" i="23"/>
  <c r="J95" i="23"/>
  <c r="H108" i="23"/>
  <c r="H127" i="23"/>
  <c r="K136" i="23"/>
  <c r="F49" i="23"/>
  <c r="K27" i="23"/>
  <c r="H29" i="23"/>
  <c r="K29" i="23" s="1"/>
  <c r="K130" i="23"/>
  <c r="K14" i="23"/>
  <c r="H36" i="23"/>
  <c r="J47" i="23"/>
  <c r="H87" i="23"/>
  <c r="F119" i="23"/>
  <c r="K124" i="23"/>
  <c r="D141" i="23"/>
  <c r="H141" i="23" s="1"/>
  <c r="K151" i="23"/>
  <c r="K133" i="23"/>
  <c r="K21" i="23"/>
  <c r="H81" i="23"/>
  <c r="J84" i="23"/>
  <c r="K111" i="23"/>
  <c r="J119" i="23"/>
  <c r="K137" i="23"/>
  <c r="K146" i="23"/>
  <c r="K154" i="23"/>
  <c r="J62" i="23"/>
  <c r="K103" i="23"/>
  <c r="H115" i="23"/>
  <c r="J115" i="23"/>
  <c r="D32" i="23"/>
  <c r="D33" i="23" s="1"/>
  <c r="H33" i="23" s="1"/>
  <c r="J24" i="23"/>
  <c r="H24" i="23"/>
  <c r="H23" i="23"/>
  <c r="F36" i="23"/>
  <c r="F53" i="23"/>
  <c r="F60" i="23"/>
  <c r="K116" i="23"/>
  <c r="K134" i="23"/>
  <c r="K149" i="23"/>
  <c r="K157" i="23"/>
  <c r="K144" i="23"/>
  <c r="J36" i="23"/>
  <c r="K39" i="23"/>
  <c r="K44" i="23"/>
  <c r="K50" i="23"/>
  <c r="J53" i="23"/>
  <c r="K71" i="23"/>
  <c r="F83" i="23"/>
  <c r="H85" i="23"/>
  <c r="J88" i="23"/>
  <c r="H97" i="23"/>
  <c r="F104" i="23"/>
  <c r="K147" i="23"/>
  <c r="K155" i="23"/>
  <c r="H158" i="23"/>
  <c r="K15" i="23"/>
  <c r="K30" i="23"/>
  <c r="D37" i="23"/>
  <c r="J37" i="23" s="1"/>
  <c r="F61" i="23"/>
  <c r="F74" i="23"/>
  <c r="H77" i="23"/>
  <c r="H83" i="23"/>
  <c r="J101" i="23"/>
  <c r="H104" i="23"/>
  <c r="F117" i="23"/>
  <c r="K142" i="23"/>
  <c r="K150" i="23"/>
  <c r="K152" i="23"/>
  <c r="K25" i="23"/>
  <c r="D38" i="23"/>
  <c r="J38" i="23" s="1"/>
  <c r="H48" i="23"/>
  <c r="H54" i="23"/>
  <c r="H61" i="23"/>
  <c r="K68" i="23"/>
  <c r="J74" i="23"/>
  <c r="J117" i="23"/>
  <c r="K120" i="23"/>
  <c r="K145" i="23"/>
  <c r="K153" i="23"/>
  <c r="K159" i="23"/>
  <c r="H63" i="23"/>
  <c r="H60" i="23"/>
  <c r="K51" i="23"/>
  <c r="K59" i="23"/>
  <c r="F72" i="23"/>
  <c r="F78" i="23"/>
  <c r="K89" i="23"/>
  <c r="J94" i="23"/>
  <c r="D121" i="23"/>
  <c r="J121" i="23" s="1"/>
  <c r="K128" i="23"/>
  <c r="K148" i="23"/>
  <c r="K156" i="23"/>
  <c r="D112" i="23"/>
  <c r="K13" i="23"/>
  <c r="F55" i="23"/>
  <c r="F62" i="23"/>
  <c r="J78" i="23"/>
  <c r="D129" i="23"/>
  <c r="J129" i="23" s="1"/>
  <c r="D22" i="23"/>
  <c r="J56" i="21"/>
  <c r="K42" i="21"/>
  <c r="K17" i="21"/>
  <c r="D57" i="21"/>
  <c r="F57" i="21" s="1"/>
  <c r="D59" i="21"/>
  <c r="J59" i="21" s="1"/>
  <c r="K52" i="21"/>
  <c r="F56" i="21"/>
  <c r="K67" i="21"/>
  <c r="H50" i="21"/>
  <c r="D58" i="21"/>
  <c r="J58" i="21" s="1"/>
  <c r="J50" i="21"/>
  <c r="K50" i="21" s="1"/>
  <c r="K17" i="26"/>
  <c r="H26" i="26"/>
  <c r="K26" i="26" s="1"/>
  <c r="K55" i="26"/>
  <c r="K15" i="26"/>
  <c r="K48" i="26"/>
  <c r="K60" i="26"/>
  <c r="K57" i="26"/>
  <c r="K9" i="26"/>
  <c r="K25" i="26"/>
  <c r="F54" i="26"/>
  <c r="K58" i="26"/>
  <c r="K12" i="26"/>
  <c r="H54" i="26"/>
  <c r="H51" i="26"/>
  <c r="K61" i="26"/>
  <c r="J52" i="26"/>
  <c r="K59" i="26"/>
  <c r="F154" i="24"/>
  <c r="K154" i="24" s="1"/>
  <c r="D157" i="24"/>
  <c r="F157" i="24" s="1"/>
  <c r="K30" i="26"/>
  <c r="K51" i="24"/>
  <c r="K128" i="24"/>
  <c r="K138" i="24"/>
  <c r="K125" i="24"/>
  <c r="K24" i="24"/>
  <c r="K140" i="24"/>
  <c r="K118" i="24"/>
  <c r="K36" i="24"/>
  <c r="K45" i="24"/>
  <c r="K143" i="23"/>
  <c r="K132" i="23"/>
  <c r="H42" i="23"/>
  <c r="K11" i="23"/>
  <c r="K10" i="26"/>
  <c r="K16" i="26"/>
  <c r="H53" i="26"/>
  <c r="F53" i="26"/>
  <c r="D42" i="26"/>
  <c r="F42" i="26" s="1"/>
  <c r="K42" i="26" s="1"/>
  <c r="J39" i="26"/>
  <c r="H39" i="26"/>
  <c r="D43" i="26"/>
  <c r="F43" i="26" s="1"/>
  <c r="K43" i="26" s="1"/>
  <c r="F51" i="26"/>
  <c r="F27" i="26"/>
  <c r="K27" i="26" s="1"/>
  <c r="F52" i="26"/>
  <c r="F40" i="21"/>
  <c r="K40" i="21" s="1"/>
  <c r="K14" i="21"/>
  <c r="K18" i="21"/>
  <c r="F39" i="21"/>
  <c r="K39" i="21" s="1"/>
  <c r="F43" i="21"/>
  <c r="K43" i="21" s="1"/>
  <c r="F158" i="24"/>
  <c r="K158" i="24" s="1"/>
  <c r="J46" i="24"/>
  <c r="K139" i="24"/>
  <c r="F62" i="24"/>
  <c r="K62" i="24" s="1"/>
  <c r="H21" i="24"/>
  <c r="F153" i="24"/>
  <c r="K153" i="24" s="1"/>
  <c r="K133" i="24"/>
  <c r="K65" i="24"/>
  <c r="K10" i="24"/>
  <c r="H39" i="24"/>
  <c r="F135" i="24"/>
  <c r="J39" i="24"/>
  <c r="K91" i="24"/>
  <c r="K124" i="24"/>
  <c r="H135" i="24"/>
  <c r="F173" i="24"/>
  <c r="H173" i="24"/>
  <c r="K60" i="24"/>
  <c r="K119" i="24"/>
  <c r="J136" i="24"/>
  <c r="D42" i="24"/>
  <c r="J42" i="24" s="1"/>
  <c r="D71" i="24"/>
  <c r="F71" i="24" s="1"/>
  <c r="K44" i="24"/>
  <c r="F38" i="24"/>
  <c r="K117" i="24"/>
  <c r="J126" i="24"/>
  <c r="K126" i="24" s="1"/>
  <c r="K159" i="24"/>
  <c r="K20" i="24"/>
  <c r="K28" i="24"/>
  <c r="F48" i="24"/>
  <c r="K12" i="24"/>
  <c r="D43" i="24"/>
  <c r="H48" i="24"/>
  <c r="F68" i="24"/>
  <c r="K97" i="24"/>
  <c r="J127" i="24"/>
  <c r="K127" i="24" s="1"/>
  <c r="D40" i="24"/>
  <c r="F40" i="24" s="1"/>
  <c r="H68" i="24"/>
  <c r="H82" i="24"/>
  <c r="H92" i="24"/>
  <c r="J171" i="24"/>
  <c r="J18" i="24"/>
  <c r="K18" i="24" s="1"/>
  <c r="J26" i="24"/>
  <c r="K26" i="24" s="1"/>
  <c r="H38" i="24"/>
  <c r="J68" i="24"/>
  <c r="J82" i="24"/>
  <c r="H89" i="24"/>
  <c r="H136" i="24"/>
  <c r="K14" i="24"/>
  <c r="D41" i="24"/>
  <c r="H49" i="24"/>
  <c r="J89" i="24"/>
  <c r="F172" i="24"/>
  <c r="K172" i="24" s="1"/>
  <c r="D70" i="24"/>
  <c r="H70" i="24" s="1"/>
  <c r="K116" i="24"/>
  <c r="H123" i="24"/>
  <c r="K123" i="24" s="1"/>
  <c r="F134" i="24"/>
  <c r="K27" i="24"/>
  <c r="F63" i="24"/>
  <c r="K63" i="24" s="1"/>
  <c r="K80" i="24"/>
  <c r="F95" i="24"/>
  <c r="K142" i="24"/>
  <c r="K151" i="24"/>
  <c r="K169" i="24"/>
  <c r="D162" i="24"/>
  <c r="J162" i="24" s="1"/>
  <c r="F161" i="24"/>
  <c r="J23" i="24"/>
  <c r="H23" i="24"/>
  <c r="J74" i="24"/>
  <c r="H74" i="24"/>
  <c r="K11" i="24"/>
  <c r="K19" i="24"/>
  <c r="F74" i="24"/>
  <c r="J37" i="24"/>
  <c r="H37" i="24"/>
  <c r="F37" i="24"/>
  <c r="D76" i="24"/>
  <c r="D73" i="24"/>
  <c r="D75" i="24"/>
  <c r="J72" i="24"/>
  <c r="H72" i="24"/>
  <c r="D78" i="24"/>
  <c r="J17" i="24"/>
  <c r="H17" i="24"/>
  <c r="F84" i="24"/>
  <c r="D87" i="24"/>
  <c r="D86" i="24"/>
  <c r="D85" i="24"/>
  <c r="J84" i="24"/>
  <c r="J25" i="24"/>
  <c r="D32" i="24"/>
  <c r="H25" i="24"/>
  <c r="H164" i="24"/>
  <c r="F164" i="24"/>
  <c r="J164" i="24"/>
  <c r="H47" i="24"/>
  <c r="J47" i="24"/>
  <c r="F47" i="24"/>
  <c r="K13" i="24"/>
  <c r="J22" i="24"/>
  <c r="K22" i="24" s="1"/>
  <c r="J21" i="24"/>
  <c r="F72" i="24"/>
  <c r="H90" i="24"/>
  <c r="F90" i="24"/>
  <c r="J90" i="24"/>
  <c r="F93" i="24"/>
  <c r="J93" i="24"/>
  <c r="H122" i="24"/>
  <c r="D166" i="24"/>
  <c r="D167" i="24"/>
  <c r="H165" i="24"/>
  <c r="F165" i="24"/>
  <c r="D168" i="24"/>
  <c r="H93" i="24"/>
  <c r="J122" i="24"/>
  <c r="H137" i="24"/>
  <c r="F137" i="24"/>
  <c r="J137" i="24"/>
  <c r="J165" i="24"/>
  <c r="H170" i="24"/>
  <c r="F170" i="24"/>
  <c r="K132" i="24"/>
  <c r="D79" i="24"/>
  <c r="K88" i="24"/>
  <c r="H94" i="24"/>
  <c r="K94" i="24" s="1"/>
  <c r="F46" i="24"/>
  <c r="K175" i="24"/>
  <c r="D69" i="24"/>
  <c r="H95" i="24"/>
  <c r="H134" i="24"/>
  <c r="H161" i="24"/>
  <c r="D163" i="24"/>
  <c r="F171" i="24"/>
  <c r="F49" i="24"/>
  <c r="F92" i="24"/>
  <c r="J161" i="24"/>
  <c r="F94" i="23"/>
  <c r="F109" i="23"/>
  <c r="H109" i="23"/>
  <c r="J109" i="23"/>
  <c r="H18" i="23"/>
  <c r="F58" i="23"/>
  <c r="J58" i="23"/>
  <c r="H58" i="23"/>
  <c r="F93" i="23"/>
  <c r="J122" i="23"/>
  <c r="H122" i="23"/>
  <c r="F122" i="23"/>
  <c r="J10" i="23"/>
  <c r="H41" i="23"/>
  <c r="H45" i="23"/>
  <c r="K45" i="23" s="1"/>
  <c r="J48" i="23"/>
  <c r="F52" i="23"/>
  <c r="J77" i="23"/>
  <c r="K77" i="23" s="1"/>
  <c r="F79" i="23"/>
  <c r="F82" i="23"/>
  <c r="F86" i="23"/>
  <c r="F92" i="23"/>
  <c r="H93" i="23"/>
  <c r="F96" i="23"/>
  <c r="J97" i="23"/>
  <c r="H99" i="23"/>
  <c r="F102" i="23"/>
  <c r="F108" i="23"/>
  <c r="F118" i="23"/>
  <c r="F123" i="23"/>
  <c r="H52" i="23"/>
  <c r="H79" i="23"/>
  <c r="H86" i="23"/>
  <c r="H102" i="23"/>
  <c r="H105" i="23"/>
  <c r="H118" i="23"/>
  <c r="H123" i="23"/>
  <c r="H16" i="23"/>
  <c r="J52" i="23"/>
  <c r="F54" i="23"/>
  <c r="F73" i="23"/>
  <c r="K73" i="23" s="1"/>
  <c r="F81" i="23"/>
  <c r="F85" i="23"/>
  <c r="H92" i="23"/>
  <c r="H96" i="23"/>
  <c r="D110" i="23"/>
  <c r="F115" i="23"/>
  <c r="F127" i="23"/>
  <c r="F158" i="23"/>
  <c r="D56" i="23"/>
  <c r="J108" i="23"/>
  <c r="F42" i="23"/>
  <c r="F46" i="23"/>
  <c r="F70" i="23"/>
  <c r="F75" i="23"/>
  <c r="F84" i="23"/>
  <c r="H46" i="23"/>
  <c r="H70" i="23"/>
  <c r="H75" i="23"/>
  <c r="K15" i="21"/>
  <c r="K12" i="21"/>
  <c r="K16" i="21"/>
  <c r="K20" i="21"/>
  <c r="K60" i="21"/>
  <c r="H58" i="21"/>
  <c r="K63" i="21"/>
  <c r="F44" i="21"/>
  <c r="K44" i="21" s="1"/>
  <c r="K19" i="21"/>
  <c r="F45" i="21"/>
  <c r="K45" i="21" s="1"/>
  <c r="H54" i="21"/>
  <c r="F64" i="21"/>
  <c r="K28" i="21"/>
  <c r="K13" i="21"/>
  <c r="J64" i="21"/>
  <c r="J54" i="21"/>
  <c r="K10" i="21"/>
  <c r="K47" i="21"/>
  <c r="H62" i="21"/>
  <c r="F65" i="21"/>
  <c r="K11" i="21"/>
  <c r="K37" i="21"/>
  <c r="H65" i="21"/>
  <c r="H24" i="21"/>
  <c r="J62" i="21"/>
  <c r="D27" i="21"/>
  <c r="F27" i="21" s="1"/>
  <c r="K27" i="21" s="1"/>
  <c r="F61" i="21"/>
  <c r="J24" i="21"/>
  <c r="H61" i="21"/>
  <c r="D25" i="21"/>
  <c r="F25" i="21" s="1"/>
  <c r="K10" i="23" l="1"/>
  <c r="K76" i="23"/>
  <c r="K64" i="21"/>
  <c r="H57" i="21"/>
  <c r="H68" i="21" s="1"/>
  <c r="K76" i="21" s="1"/>
  <c r="K41" i="23"/>
  <c r="K99" i="23"/>
  <c r="K57" i="23"/>
  <c r="J57" i="21"/>
  <c r="J68" i="21" s="1"/>
  <c r="K56" i="21"/>
  <c r="K118" i="23"/>
  <c r="K87" i="23"/>
  <c r="K97" i="23"/>
  <c r="K127" i="23"/>
  <c r="K51" i="26"/>
  <c r="K52" i="26"/>
  <c r="K54" i="26"/>
  <c r="F59" i="21"/>
  <c r="H59" i="21"/>
  <c r="F43" i="23"/>
  <c r="K55" i="23"/>
  <c r="K72" i="23"/>
  <c r="K95" i="23"/>
  <c r="D35" i="23"/>
  <c r="H35" i="23" s="1"/>
  <c r="F33" i="23"/>
  <c r="D34" i="23"/>
  <c r="F34" i="23" s="1"/>
  <c r="F129" i="23"/>
  <c r="J33" i="23"/>
  <c r="K158" i="23"/>
  <c r="H32" i="23"/>
  <c r="K88" i="23"/>
  <c r="K62" i="23"/>
  <c r="K74" i="23"/>
  <c r="K83" i="23"/>
  <c r="K47" i="23"/>
  <c r="H129" i="23"/>
  <c r="K129" i="23" s="1"/>
  <c r="J32" i="23"/>
  <c r="K48" i="23"/>
  <c r="K91" i="23"/>
  <c r="K54" i="23"/>
  <c r="K60" i="23"/>
  <c r="K92" i="23"/>
  <c r="K61" i="23"/>
  <c r="K79" i="23"/>
  <c r="J141" i="23"/>
  <c r="K36" i="23"/>
  <c r="K119" i="23"/>
  <c r="K23" i="23"/>
  <c r="F141" i="23"/>
  <c r="K53" i="23"/>
  <c r="K16" i="23"/>
  <c r="K85" i="23"/>
  <c r="K78" i="23"/>
  <c r="F38" i="23"/>
  <c r="K70" i="23"/>
  <c r="K117" i="23"/>
  <c r="K46" i="23"/>
  <c r="K49" i="23"/>
  <c r="K81" i="23"/>
  <c r="K93" i="23"/>
  <c r="K94" i="23"/>
  <c r="D126" i="23"/>
  <c r="H126" i="23" s="1"/>
  <c r="K122" i="23"/>
  <c r="H37" i="23"/>
  <c r="K84" i="23"/>
  <c r="F37" i="23"/>
  <c r="J43" i="23"/>
  <c r="K115" i="23"/>
  <c r="K52" i="23"/>
  <c r="K86" i="23"/>
  <c r="K82" i="23"/>
  <c r="H38" i="23"/>
  <c r="K108" i="23"/>
  <c r="F121" i="23"/>
  <c r="H121" i="23"/>
  <c r="K104" i="23"/>
  <c r="J22" i="23"/>
  <c r="H22" i="23"/>
  <c r="K123" i="23"/>
  <c r="D114" i="23"/>
  <c r="D113" i="23"/>
  <c r="H112" i="23"/>
  <c r="J112" i="23"/>
  <c r="F112" i="23"/>
  <c r="K24" i="23"/>
  <c r="K102" i="23"/>
  <c r="K75" i="23"/>
  <c r="K96" i="23"/>
  <c r="F58" i="21"/>
  <c r="K65" i="21"/>
  <c r="F63" i="26"/>
  <c r="K64" i="26" s="1"/>
  <c r="K171" i="24"/>
  <c r="H157" i="24"/>
  <c r="K46" i="24"/>
  <c r="K21" i="24"/>
  <c r="J157" i="24"/>
  <c r="J70" i="24"/>
  <c r="K48" i="24"/>
  <c r="F42" i="24"/>
  <c r="K82" i="24"/>
  <c r="J40" i="24"/>
  <c r="K42" i="23"/>
  <c r="H63" i="26"/>
  <c r="K71" i="26" s="1"/>
  <c r="K53" i="26"/>
  <c r="K39" i="26"/>
  <c r="K62" i="21"/>
  <c r="K24" i="21"/>
  <c r="K54" i="21"/>
  <c r="H40" i="24"/>
  <c r="H42" i="24"/>
  <c r="H71" i="24"/>
  <c r="J71" i="24"/>
  <c r="K135" i="24"/>
  <c r="K173" i="24"/>
  <c r="K39" i="24"/>
  <c r="H162" i="24"/>
  <c r="F70" i="24"/>
  <c r="F162" i="24"/>
  <c r="K49" i="24"/>
  <c r="K136" i="24"/>
  <c r="K47" i="24"/>
  <c r="K89" i="24"/>
  <c r="K38" i="24"/>
  <c r="K37" i="24"/>
  <c r="F41" i="24"/>
  <c r="J41" i="24"/>
  <c r="H41" i="24"/>
  <c r="K134" i="24"/>
  <c r="K74" i="24"/>
  <c r="K95" i="24"/>
  <c r="J43" i="24"/>
  <c r="H43" i="24"/>
  <c r="F43" i="24"/>
  <c r="K92" i="24"/>
  <c r="K23" i="24"/>
  <c r="K68" i="24"/>
  <c r="K170" i="24"/>
  <c r="K72" i="24"/>
  <c r="F79" i="24"/>
  <c r="J79" i="24"/>
  <c r="H79" i="24"/>
  <c r="D33" i="24"/>
  <c r="J32" i="24"/>
  <c r="D34" i="24"/>
  <c r="H32" i="24"/>
  <c r="D35" i="24"/>
  <c r="K161" i="24"/>
  <c r="K137" i="24"/>
  <c r="H166" i="24"/>
  <c r="F166" i="24"/>
  <c r="J166" i="24"/>
  <c r="K25" i="24"/>
  <c r="H85" i="24"/>
  <c r="F85" i="24"/>
  <c r="J85" i="24"/>
  <c r="F78" i="24"/>
  <c r="J78" i="24"/>
  <c r="H78" i="24"/>
  <c r="J76" i="24"/>
  <c r="F76" i="24"/>
  <c r="H76" i="24"/>
  <c r="K165" i="24"/>
  <c r="K93" i="24"/>
  <c r="K84" i="24"/>
  <c r="H73" i="24"/>
  <c r="F73" i="24"/>
  <c r="J73" i="24"/>
  <c r="K164" i="24"/>
  <c r="H86" i="24"/>
  <c r="J86" i="24"/>
  <c r="F86" i="24"/>
  <c r="J167" i="24"/>
  <c r="H167" i="24"/>
  <c r="F167" i="24"/>
  <c r="K17" i="24"/>
  <c r="H69" i="24"/>
  <c r="F69" i="24"/>
  <c r="J69" i="24"/>
  <c r="K90" i="24"/>
  <c r="H87" i="24"/>
  <c r="F87" i="24"/>
  <c r="J87" i="24"/>
  <c r="J75" i="24"/>
  <c r="H75" i="24"/>
  <c r="F75" i="24"/>
  <c r="K122" i="24"/>
  <c r="J163" i="24"/>
  <c r="F163" i="24"/>
  <c r="H163" i="24"/>
  <c r="J168" i="24"/>
  <c r="H168" i="24"/>
  <c r="F168" i="24"/>
  <c r="J110" i="23"/>
  <c r="H110" i="23"/>
  <c r="F110" i="23"/>
  <c r="F100" i="23"/>
  <c r="K100" i="23" s="1"/>
  <c r="F105" i="23"/>
  <c r="K105" i="23" s="1"/>
  <c r="K109" i="23"/>
  <c r="F106" i="23"/>
  <c r="K106" i="23" s="1"/>
  <c r="F101" i="23"/>
  <c r="K101" i="23" s="1"/>
  <c r="J56" i="23"/>
  <c r="H56" i="23"/>
  <c r="F56" i="23"/>
  <c r="D67" i="23"/>
  <c r="D64" i="23"/>
  <c r="J63" i="23"/>
  <c r="D65" i="23"/>
  <c r="D66" i="23"/>
  <c r="F63" i="23"/>
  <c r="K58" i="23"/>
  <c r="K61" i="21"/>
  <c r="K25" i="21"/>
  <c r="J180" i="15"/>
  <c r="H180" i="15"/>
  <c r="F180" i="15"/>
  <c r="J179" i="15"/>
  <c r="H179" i="15"/>
  <c r="F179" i="15"/>
  <c r="J178" i="15"/>
  <c r="H178" i="15"/>
  <c r="F178" i="15"/>
  <c r="J177" i="15"/>
  <c r="H177" i="15"/>
  <c r="F177" i="15"/>
  <c r="D176" i="15"/>
  <c r="F176" i="15" s="1"/>
  <c r="J175" i="15"/>
  <c r="H175" i="15"/>
  <c r="F175" i="15"/>
  <c r="J174" i="15"/>
  <c r="H174" i="15"/>
  <c r="F174" i="15"/>
  <c r="J173" i="15"/>
  <c r="H173" i="15"/>
  <c r="F173" i="15"/>
  <c r="J172" i="15"/>
  <c r="H172" i="15"/>
  <c r="F172" i="15"/>
  <c r="J171" i="15"/>
  <c r="H171" i="15"/>
  <c r="F171" i="15"/>
  <c r="D170" i="15"/>
  <c r="J170" i="15" s="1"/>
  <c r="J169" i="15"/>
  <c r="H169" i="15"/>
  <c r="F169" i="15"/>
  <c r="J168" i="15"/>
  <c r="H168" i="15"/>
  <c r="F168" i="15"/>
  <c r="J167" i="15"/>
  <c r="H167" i="15"/>
  <c r="F167" i="15"/>
  <c r="J166" i="15"/>
  <c r="H166" i="15"/>
  <c r="F166" i="15"/>
  <c r="J165" i="15"/>
  <c r="H165" i="15"/>
  <c r="F165" i="15"/>
  <c r="J164" i="15"/>
  <c r="H164" i="15"/>
  <c r="F164" i="15"/>
  <c r="J163" i="15"/>
  <c r="H163" i="15"/>
  <c r="F163" i="15"/>
  <c r="J162" i="15"/>
  <c r="H162" i="15"/>
  <c r="F162" i="15"/>
  <c r="J161" i="15"/>
  <c r="H161" i="15"/>
  <c r="F161" i="15"/>
  <c r="J160" i="15"/>
  <c r="H160" i="15"/>
  <c r="F160" i="15"/>
  <c r="J158" i="15"/>
  <c r="H158" i="15"/>
  <c r="F158" i="15"/>
  <c r="F157" i="15"/>
  <c r="K157" i="15" s="1"/>
  <c r="F156" i="15"/>
  <c r="K156" i="15" s="1"/>
  <c r="J155" i="15"/>
  <c r="H155" i="15"/>
  <c r="F155" i="15"/>
  <c r="J154" i="15"/>
  <c r="H154" i="15"/>
  <c r="F154" i="15"/>
  <c r="D153" i="15"/>
  <c r="H153" i="15" s="1"/>
  <c r="D152" i="15"/>
  <c r="F152" i="15" s="1"/>
  <c r="J151" i="15"/>
  <c r="H151" i="15"/>
  <c r="D150" i="15"/>
  <c r="H150" i="15" s="1"/>
  <c r="J149" i="15"/>
  <c r="H149" i="15"/>
  <c r="F149" i="15"/>
  <c r="J148" i="15"/>
  <c r="H148" i="15"/>
  <c r="F148" i="15"/>
  <c r="J147" i="15"/>
  <c r="H147" i="15"/>
  <c r="F147" i="15"/>
  <c r="J146" i="15"/>
  <c r="H146" i="15"/>
  <c r="F146" i="15"/>
  <c r="J145" i="15"/>
  <c r="H145" i="15"/>
  <c r="F145" i="15"/>
  <c r="J144" i="15"/>
  <c r="H144" i="15"/>
  <c r="F144" i="15"/>
  <c r="J143" i="15"/>
  <c r="H143" i="15"/>
  <c r="F143" i="15"/>
  <c r="J142" i="15"/>
  <c r="H142" i="15"/>
  <c r="F142" i="15"/>
  <c r="J141" i="15"/>
  <c r="H141" i="15"/>
  <c r="F141" i="15"/>
  <c r="J140" i="15"/>
  <c r="H140" i="15"/>
  <c r="F140" i="15"/>
  <c r="J138" i="15"/>
  <c r="H138" i="15"/>
  <c r="F138" i="15"/>
  <c r="D137" i="15"/>
  <c r="J137" i="15" s="1"/>
  <c r="J135" i="15"/>
  <c r="H135" i="15"/>
  <c r="F135" i="15"/>
  <c r="J134" i="15"/>
  <c r="H134" i="15"/>
  <c r="F134" i="15"/>
  <c r="D133" i="15"/>
  <c r="J133" i="15" s="1"/>
  <c r="D132" i="15"/>
  <c r="J132" i="15" s="1"/>
  <c r="D131" i="15"/>
  <c r="J131" i="15" s="1"/>
  <c r="D130" i="15"/>
  <c r="J130" i="15" s="1"/>
  <c r="D129" i="15"/>
  <c r="D136" i="15" s="1"/>
  <c r="J128" i="15"/>
  <c r="H128" i="15"/>
  <c r="F128" i="15"/>
  <c r="D123" i="15"/>
  <c r="J123" i="15" s="1"/>
  <c r="D122" i="15"/>
  <c r="J122" i="15" s="1"/>
  <c r="D121" i="15"/>
  <c r="F121" i="15" s="1"/>
  <c r="J120" i="15"/>
  <c r="H120" i="15"/>
  <c r="F120" i="15"/>
  <c r="J119" i="15"/>
  <c r="H119" i="15"/>
  <c r="F119" i="15"/>
  <c r="D116" i="15"/>
  <c r="F116" i="15" s="1"/>
  <c r="D112" i="15"/>
  <c r="J112" i="15" s="1"/>
  <c r="D111" i="15"/>
  <c r="F111" i="15" s="1"/>
  <c r="D110" i="15"/>
  <c r="J110" i="15" s="1"/>
  <c r="D109" i="15"/>
  <c r="J109" i="15" s="1"/>
  <c r="D108" i="15"/>
  <c r="J108" i="15" s="1"/>
  <c r="D107" i="15"/>
  <c r="J107" i="15" s="1"/>
  <c r="J106" i="15"/>
  <c r="H106" i="15"/>
  <c r="F106" i="15"/>
  <c r="H96" i="15"/>
  <c r="D96" i="15"/>
  <c r="J96" i="15" s="1"/>
  <c r="D95" i="15"/>
  <c r="H95" i="15" s="1"/>
  <c r="D94" i="15"/>
  <c r="J94" i="15" s="1"/>
  <c r="D93" i="15"/>
  <c r="J93" i="15" s="1"/>
  <c r="D92" i="15"/>
  <c r="J92" i="15" s="1"/>
  <c r="D91" i="15"/>
  <c r="F91" i="15" s="1"/>
  <c r="D90" i="15"/>
  <c r="J90" i="15" s="1"/>
  <c r="D89" i="15"/>
  <c r="J89" i="15" s="1"/>
  <c r="J88" i="15"/>
  <c r="H88" i="15"/>
  <c r="F88" i="15"/>
  <c r="D87" i="15"/>
  <c r="J87" i="15" s="1"/>
  <c r="J86" i="15"/>
  <c r="H86" i="15"/>
  <c r="F86" i="15"/>
  <c r="J85" i="15"/>
  <c r="H85" i="15"/>
  <c r="F85" i="15"/>
  <c r="D84" i="15"/>
  <c r="D79" i="15"/>
  <c r="H79" i="15" s="1"/>
  <c r="D78" i="15"/>
  <c r="J78" i="15" s="1"/>
  <c r="D77" i="15"/>
  <c r="H77" i="15" s="1"/>
  <c r="J76" i="15"/>
  <c r="H76" i="15"/>
  <c r="F76" i="15"/>
  <c r="D75" i="15"/>
  <c r="J75" i="15" s="1"/>
  <c r="D74" i="15"/>
  <c r="J74" i="15" s="1"/>
  <c r="D73" i="15"/>
  <c r="J73" i="15" s="1"/>
  <c r="F72" i="15"/>
  <c r="D72" i="15"/>
  <c r="J72" i="15" s="1"/>
  <c r="D71" i="15"/>
  <c r="J71" i="15" s="1"/>
  <c r="J70" i="15"/>
  <c r="H70" i="15"/>
  <c r="F70" i="15"/>
  <c r="J69" i="15"/>
  <c r="H69" i="15"/>
  <c r="F69" i="15"/>
  <c r="F67" i="15"/>
  <c r="K67" i="15" s="1"/>
  <c r="F66" i="15"/>
  <c r="K66" i="15" s="1"/>
  <c r="F65" i="15"/>
  <c r="K65" i="15" s="1"/>
  <c r="D64" i="15"/>
  <c r="D68" i="15" s="1"/>
  <c r="F68" i="15" s="1"/>
  <c r="K68" i="15" s="1"/>
  <c r="J63" i="15"/>
  <c r="H63" i="15"/>
  <c r="D63" i="15"/>
  <c r="J59" i="15"/>
  <c r="H59" i="15"/>
  <c r="F59" i="15"/>
  <c r="J58" i="15"/>
  <c r="H58" i="15"/>
  <c r="D57" i="15"/>
  <c r="D61" i="15" s="1"/>
  <c r="J56" i="15"/>
  <c r="H56" i="15"/>
  <c r="F56" i="15"/>
  <c r="H80" i="15"/>
  <c r="D50" i="15"/>
  <c r="D51" i="15" s="1"/>
  <c r="D48" i="15"/>
  <c r="D44" i="15"/>
  <c r="J44" i="15" s="1"/>
  <c r="D43" i="15"/>
  <c r="J43" i="15" s="1"/>
  <c r="J42" i="15"/>
  <c r="H42" i="15"/>
  <c r="F42" i="15"/>
  <c r="D41" i="15"/>
  <c r="J41" i="15" s="1"/>
  <c r="D40" i="15"/>
  <c r="J40" i="15" s="1"/>
  <c r="D39" i="15"/>
  <c r="F39" i="15" s="1"/>
  <c r="J38" i="15"/>
  <c r="H38" i="15"/>
  <c r="J37" i="15"/>
  <c r="H37" i="15"/>
  <c r="J36" i="15"/>
  <c r="H36" i="15"/>
  <c r="D35" i="15"/>
  <c r="J35" i="15" s="1"/>
  <c r="J34" i="15"/>
  <c r="H34" i="15"/>
  <c r="J33" i="15"/>
  <c r="H33" i="15"/>
  <c r="J32" i="15"/>
  <c r="H32" i="15"/>
  <c r="J31" i="15"/>
  <c r="H31" i="15"/>
  <c r="J30" i="15"/>
  <c r="H30" i="15"/>
  <c r="J29" i="15"/>
  <c r="H29" i="15"/>
  <c r="J28" i="15"/>
  <c r="H28" i="15"/>
  <c r="J27" i="15"/>
  <c r="H27" i="15"/>
  <c r="J26" i="15"/>
  <c r="H26" i="15"/>
  <c r="H25" i="15"/>
  <c r="J24" i="15"/>
  <c r="H24" i="15"/>
  <c r="H22" i="15"/>
  <c r="J20" i="15"/>
  <c r="H20" i="15"/>
  <c r="J19" i="15"/>
  <c r="H19" i="15"/>
  <c r="J18" i="15"/>
  <c r="K18" i="15" s="1"/>
  <c r="H18" i="15"/>
  <c r="J17" i="15"/>
  <c r="H17" i="15"/>
  <c r="J16" i="15"/>
  <c r="H16" i="15"/>
  <c r="D15" i="15"/>
  <c r="J14" i="15"/>
  <c r="H14" i="15"/>
  <c r="D13" i="15"/>
  <c r="J13" i="15" s="1"/>
  <c r="D12" i="15"/>
  <c r="J12" i="15" s="1"/>
  <c r="D11" i="15"/>
  <c r="J11" i="15" s="1"/>
  <c r="H12" i="15"/>
  <c r="D10" i="15"/>
  <c r="J10" i="15" s="1"/>
  <c r="H11" i="15"/>
  <c r="D9" i="15"/>
  <c r="J9" i="15" s="1"/>
  <c r="K160" i="15" l="1"/>
  <c r="K69" i="15"/>
  <c r="K57" i="21"/>
  <c r="K59" i="21"/>
  <c r="K29" i="15"/>
  <c r="H91" i="15"/>
  <c r="K14" i="15"/>
  <c r="F68" i="21"/>
  <c r="K69" i="21" s="1"/>
  <c r="K138" i="15"/>
  <c r="F77" i="15"/>
  <c r="J77" i="15"/>
  <c r="K43" i="23"/>
  <c r="K58" i="21"/>
  <c r="H10" i="15"/>
  <c r="K28" i="15"/>
  <c r="D114" i="15"/>
  <c r="J114" i="15" s="1"/>
  <c r="H129" i="15"/>
  <c r="F133" i="15"/>
  <c r="K171" i="15"/>
  <c r="K76" i="15"/>
  <c r="J95" i="15"/>
  <c r="H108" i="15"/>
  <c r="J129" i="15"/>
  <c r="H133" i="15"/>
  <c r="K133" i="15" s="1"/>
  <c r="H152" i="15"/>
  <c r="D60" i="15"/>
  <c r="H60" i="15" s="1"/>
  <c r="J152" i="15"/>
  <c r="K63" i="15"/>
  <c r="H57" i="15"/>
  <c r="F130" i="15"/>
  <c r="K174" i="15"/>
  <c r="K36" i="15"/>
  <c r="J57" i="15"/>
  <c r="D62" i="15"/>
  <c r="J62" i="15" s="1"/>
  <c r="F80" i="15"/>
  <c r="D97" i="15"/>
  <c r="D105" i="15" s="1"/>
  <c r="J105" i="15" s="1"/>
  <c r="K106" i="15"/>
  <c r="H130" i="15"/>
  <c r="K130" i="15" s="1"/>
  <c r="F150" i="15"/>
  <c r="F153" i="15"/>
  <c r="K153" i="15" s="1"/>
  <c r="K175" i="15"/>
  <c r="K27" i="15"/>
  <c r="H111" i="15"/>
  <c r="K172" i="15"/>
  <c r="K121" i="23"/>
  <c r="J63" i="26"/>
  <c r="K120" i="15"/>
  <c r="K33" i="23"/>
  <c r="J34" i="23"/>
  <c r="K141" i="23"/>
  <c r="H34" i="23"/>
  <c r="F35" i="23"/>
  <c r="K37" i="23"/>
  <c r="K32" i="23"/>
  <c r="J126" i="23"/>
  <c r="J35" i="23"/>
  <c r="F126" i="23"/>
  <c r="K38" i="23"/>
  <c r="K22" i="23"/>
  <c r="K112" i="23"/>
  <c r="J113" i="23"/>
  <c r="F113" i="23"/>
  <c r="H113" i="23"/>
  <c r="J40" i="23"/>
  <c r="F40" i="23"/>
  <c r="H40" i="23"/>
  <c r="J114" i="23"/>
  <c r="H114" i="23"/>
  <c r="F114" i="23"/>
  <c r="K42" i="24"/>
  <c r="K157" i="24"/>
  <c r="K70" i="24"/>
  <c r="K40" i="24"/>
  <c r="K71" i="24"/>
  <c r="K162" i="24"/>
  <c r="F45" i="15"/>
  <c r="K88" i="15"/>
  <c r="K63" i="26"/>
  <c r="K65" i="26" s="1"/>
  <c r="K87" i="24"/>
  <c r="K85" i="24"/>
  <c r="K41" i="24"/>
  <c r="K75" i="24"/>
  <c r="H176" i="24"/>
  <c r="K184" i="24" s="1"/>
  <c r="K76" i="24"/>
  <c r="K168" i="24"/>
  <c r="K79" i="24"/>
  <c r="K43" i="24"/>
  <c r="K167" i="24"/>
  <c r="K163" i="24"/>
  <c r="F176" i="24"/>
  <c r="K177" i="24" s="1"/>
  <c r="K166" i="24"/>
  <c r="K32" i="24"/>
  <c r="F33" i="24"/>
  <c r="J33" i="24"/>
  <c r="H33" i="24"/>
  <c r="J176" i="24"/>
  <c r="K78" i="24"/>
  <c r="J34" i="24"/>
  <c r="H34" i="24"/>
  <c r="F34" i="24"/>
  <c r="K73" i="24"/>
  <c r="K69" i="24"/>
  <c r="K86" i="24"/>
  <c r="J35" i="24"/>
  <c r="H35" i="24"/>
  <c r="F35" i="24"/>
  <c r="J65" i="23"/>
  <c r="H65" i="23"/>
  <c r="F65" i="23"/>
  <c r="K63" i="23"/>
  <c r="K56" i="23"/>
  <c r="F64" i="23"/>
  <c r="H64" i="23"/>
  <c r="J64" i="23"/>
  <c r="J66" i="23"/>
  <c r="H66" i="23"/>
  <c r="F66" i="23"/>
  <c r="J67" i="23"/>
  <c r="F67" i="23"/>
  <c r="H67" i="23"/>
  <c r="K110" i="23"/>
  <c r="J18" i="23"/>
  <c r="K18" i="23" s="1"/>
  <c r="J20" i="23"/>
  <c r="K20" i="23" s="1"/>
  <c r="K30" i="15"/>
  <c r="K38" i="15"/>
  <c r="J116" i="15"/>
  <c r="H121" i="15"/>
  <c r="K161" i="15"/>
  <c r="K169" i="15"/>
  <c r="K180" i="15"/>
  <c r="K17" i="15"/>
  <c r="H35" i="15"/>
  <c r="K35" i="15" s="1"/>
  <c r="F78" i="15"/>
  <c r="J121" i="15"/>
  <c r="K140" i="15"/>
  <c r="K143" i="15"/>
  <c r="K148" i="15"/>
  <c r="K151" i="15"/>
  <c r="K26" i="15"/>
  <c r="J21" i="15"/>
  <c r="K32" i="15"/>
  <c r="H39" i="15"/>
  <c r="F44" i="15"/>
  <c r="F71" i="15"/>
  <c r="F137" i="15"/>
  <c r="K178" i="15"/>
  <c r="K34" i="15"/>
  <c r="H44" i="15"/>
  <c r="H71" i="15"/>
  <c r="F79" i="15"/>
  <c r="F95" i="15"/>
  <c r="K141" i="15"/>
  <c r="K149" i="15"/>
  <c r="H176" i="15"/>
  <c r="K24" i="15"/>
  <c r="J79" i="15"/>
  <c r="K134" i="15"/>
  <c r="J176" i="15"/>
  <c r="K37" i="15"/>
  <c r="K42" i="15"/>
  <c r="K86" i="15"/>
  <c r="K128" i="15"/>
  <c r="K166" i="15"/>
  <c r="F109" i="15"/>
  <c r="F114" i="15"/>
  <c r="K77" i="15"/>
  <c r="K10" i="15"/>
  <c r="K12" i="15"/>
  <c r="K20" i="15"/>
  <c r="K58" i="15"/>
  <c r="K70" i="15"/>
  <c r="D83" i="15"/>
  <c r="F83" i="15" s="1"/>
  <c r="F89" i="15"/>
  <c r="J91" i="15"/>
  <c r="K91" i="15" s="1"/>
  <c r="H116" i="15"/>
  <c r="K119" i="15"/>
  <c r="K154" i="15"/>
  <c r="K158" i="15"/>
  <c r="K162" i="15"/>
  <c r="K164" i="15"/>
  <c r="K173" i="15"/>
  <c r="K179" i="15"/>
  <c r="H21" i="15"/>
  <c r="K33" i="15"/>
  <c r="J39" i="15"/>
  <c r="H72" i="15"/>
  <c r="K72" i="15" s="1"/>
  <c r="J80" i="15"/>
  <c r="F87" i="15"/>
  <c r="F90" i="15"/>
  <c r="F92" i="15"/>
  <c r="D117" i="15"/>
  <c r="J117" i="15" s="1"/>
  <c r="F122" i="15"/>
  <c r="K155" i="15"/>
  <c r="K168" i="15"/>
  <c r="K177" i="15"/>
  <c r="F43" i="15"/>
  <c r="K56" i="15"/>
  <c r="K59" i="15"/>
  <c r="D81" i="15"/>
  <c r="J81" i="15" s="1"/>
  <c r="H87" i="15"/>
  <c r="H90" i="15"/>
  <c r="H92" i="15"/>
  <c r="F96" i="15"/>
  <c r="K96" i="15" s="1"/>
  <c r="H109" i="15"/>
  <c r="D118" i="15"/>
  <c r="K144" i="15"/>
  <c r="K147" i="15"/>
  <c r="K165" i="15"/>
  <c r="F40" i="15"/>
  <c r="H43" i="15"/>
  <c r="H45" i="15"/>
  <c r="D82" i="15"/>
  <c r="F123" i="15"/>
  <c r="H40" i="15"/>
  <c r="D46" i="15"/>
  <c r="J46" i="15" s="1"/>
  <c r="F73" i="15"/>
  <c r="K85" i="15"/>
  <c r="F107" i="15"/>
  <c r="H123" i="15"/>
  <c r="K135" i="15"/>
  <c r="K142" i="15"/>
  <c r="K145" i="15"/>
  <c r="K150" i="15"/>
  <c r="K163" i="15"/>
  <c r="K146" i="15"/>
  <c r="K167" i="15"/>
  <c r="K16" i="15"/>
  <c r="K19" i="15"/>
  <c r="K31" i="15"/>
  <c r="J47" i="15"/>
  <c r="H73" i="15"/>
  <c r="K73" i="15" s="1"/>
  <c r="J136" i="15"/>
  <c r="H136" i="15"/>
  <c r="F136" i="15"/>
  <c r="D53" i="15"/>
  <c r="H51" i="15"/>
  <c r="F51" i="15"/>
  <c r="D54" i="15"/>
  <c r="J51" i="15"/>
  <c r="D52" i="15"/>
  <c r="D124" i="15"/>
  <c r="D55" i="15"/>
  <c r="J84" i="15"/>
  <c r="H84" i="15"/>
  <c r="F84" i="15"/>
  <c r="J61" i="15"/>
  <c r="H61" i="15"/>
  <c r="F61" i="15"/>
  <c r="H15" i="15"/>
  <c r="J15" i="15"/>
  <c r="K15" i="15" s="1"/>
  <c r="H13" i="15"/>
  <c r="K13" i="15" s="1"/>
  <c r="H48" i="15"/>
  <c r="F48" i="15"/>
  <c r="J48" i="15"/>
  <c r="F108" i="15"/>
  <c r="K108" i="15" s="1"/>
  <c r="K11" i="15"/>
  <c r="J22" i="15"/>
  <c r="K22" i="15" s="1"/>
  <c r="F50" i="15"/>
  <c r="J45" i="15"/>
  <c r="H50" i="15"/>
  <c r="H62" i="15"/>
  <c r="F64" i="15"/>
  <c r="K64" i="15" s="1"/>
  <c r="F75" i="15"/>
  <c r="H89" i="15"/>
  <c r="F94" i="15"/>
  <c r="H107" i="15"/>
  <c r="F110" i="15"/>
  <c r="J111" i="15"/>
  <c r="K111" i="15" s="1"/>
  <c r="D113" i="15"/>
  <c r="H122" i="15"/>
  <c r="F132" i="15"/>
  <c r="H137" i="15"/>
  <c r="K137" i="15" s="1"/>
  <c r="D139" i="15"/>
  <c r="D49" i="15"/>
  <c r="J50" i="15"/>
  <c r="H75" i="15"/>
  <c r="H78" i="15"/>
  <c r="H94" i="15"/>
  <c r="D103" i="15"/>
  <c r="F103" i="15" s="1"/>
  <c r="H110" i="15"/>
  <c r="H114" i="15"/>
  <c r="H117" i="15"/>
  <c r="F129" i="15"/>
  <c r="H132" i="15"/>
  <c r="H23" i="15"/>
  <c r="F41" i="15"/>
  <c r="F74" i="15"/>
  <c r="F93" i="15"/>
  <c r="F131" i="15"/>
  <c r="F170" i="15"/>
  <c r="H9" i="15"/>
  <c r="H41" i="15"/>
  <c r="H74" i="15"/>
  <c r="H93" i="15"/>
  <c r="F112" i="15"/>
  <c r="D115" i="15"/>
  <c r="H131" i="15"/>
  <c r="H170" i="15"/>
  <c r="H112" i="15"/>
  <c r="K21" i="15" l="1"/>
  <c r="K57" i="15"/>
  <c r="D159" i="15"/>
  <c r="K122" i="15"/>
  <c r="K68" i="21"/>
  <c r="K70" i="21" s="1"/>
  <c r="K71" i="21" s="1"/>
  <c r="K72" i="21" s="1"/>
  <c r="K73" i="21" s="1"/>
  <c r="K74" i="21" s="1"/>
  <c r="K152" i="15"/>
  <c r="K95" i="15"/>
  <c r="D101" i="15"/>
  <c r="K129" i="15"/>
  <c r="K107" i="15"/>
  <c r="K116" i="15"/>
  <c r="K123" i="15"/>
  <c r="K71" i="15"/>
  <c r="K121" i="15"/>
  <c r="K79" i="15"/>
  <c r="K74" i="15"/>
  <c r="F113" i="15"/>
  <c r="K92" i="15"/>
  <c r="K51" i="15"/>
  <c r="H81" i="15"/>
  <c r="K80" i="15"/>
  <c r="H47" i="15"/>
  <c r="H105" i="15"/>
  <c r="K40" i="15"/>
  <c r="J97" i="15"/>
  <c r="K132" i="15"/>
  <c r="K94" i="15"/>
  <c r="H97" i="15"/>
  <c r="K45" i="15"/>
  <c r="F105" i="15"/>
  <c r="K44" i="15"/>
  <c r="F60" i="15"/>
  <c r="J60" i="15"/>
  <c r="D99" i="15"/>
  <c r="F99" i="15" s="1"/>
  <c r="K176" i="15"/>
  <c r="F97" i="15"/>
  <c r="D100" i="15"/>
  <c r="F117" i="15"/>
  <c r="K117" i="15" s="1"/>
  <c r="F81" i="15"/>
  <c r="K81" i="15" s="1"/>
  <c r="F159" i="15"/>
  <c r="F62" i="15"/>
  <c r="K62" i="15" s="1"/>
  <c r="D102" i="15"/>
  <c r="J102" i="15" s="1"/>
  <c r="D98" i="15"/>
  <c r="H98" i="15" s="1"/>
  <c r="D104" i="15"/>
  <c r="K126" i="23"/>
  <c r="K35" i="23"/>
  <c r="K34" i="23"/>
  <c r="H163" i="23"/>
  <c r="K171" i="23" s="1"/>
  <c r="F163" i="23"/>
  <c r="K164" i="23" s="1"/>
  <c r="K40" i="23"/>
  <c r="K113" i="23"/>
  <c r="K67" i="23"/>
  <c r="K114" i="23"/>
  <c r="K176" i="24"/>
  <c r="K178" i="24" s="1"/>
  <c r="K179" i="24" s="1"/>
  <c r="K180" i="24" s="1"/>
  <c r="H46" i="15"/>
  <c r="F46" i="15"/>
  <c r="K43" i="15"/>
  <c r="F47" i="15"/>
  <c r="K66" i="26"/>
  <c r="K67" i="26" s="1"/>
  <c r="F98" i="24"/>
  <c r="K99" i="24" s="1"/>
  <c r="H98" i="24"/>
  <c r="K106" i="24" s="1"/>
  <c r="K34" i="24"/>
  <c r="K35" i="24"/>
  <c r="K33" i="24"/>
  <c r="J98" i="24"/>
  <c r="K66" i="23"/>
  <c r="K65" i="23"/>
  <c r="K64" i="23"/>
  <c r="J163" i="23"/>
  <c r="K90" i="15"/>
  <c r="K87" i="15"/>
  <c r="K39" i="15"/>
  <c r="K78" i="15"/>
  <c r="K89" i="15"/>
  <c r="K109" i="15"/>
  <c r="K131" i="15"/>
  <c r="K110" i="15"/>
  <c r="K41" i="15"/>
  <c r="K114" i="15"/>
  <c r="K75" i="15"/>
  <c r="H100" i="15"/>
  <c r="K48" i="15"/>
  <c r="K61" i="15"/>
  <c r="J82" i="15"/>
  <c r="H82" i="15"/>
  <c r="K170" i="15"/>
  <c r="K93" i="15"/>
  <c r="J118" i="15"/>
  <c r="H118" i="15"/>
  <c r="F118" i="15"/>
  <c r="H83" i="15"/>
  <c r="J83" i="15"/>
  <c r="F82" i="15"/>
  <c r="K112" i="15"/>
  <c r="J101" i="15"/>
  <c r="H101" i="15"/>
  <c r="F101" i="15"/>
  <c r="K84" i="15"/>
  <c r="D125" i="15"/>
  <c r="J124" i="15"/>
  <c r="D126" i="15"/>
  <c r="H124" i="15"/>
  <c r="F124" i="15"/>
  <c r="D127" i="15"/>
  <c r="J25" i="15"/>
  <c r="K25" i="15" s="1"/>
  <c r="J23" i="15"/>
  <c r="F52" i="15"/>
  <c r="J52" i="15"/>
  <c r="H52" i="15"/>
  <c r="H115" i="15"/>
  <c r="F115" i="15"/>
  <c r="J115" i="15"/>
  <c r="J113" i="15"/>
  <c r="H113" i="15"/>
  <c r="J103" i="15"/>
  <c r="H103" i="15"/>
  <c r="J49" i="15"/>
  <c r="F49" i="15"/>
  <c r="H49" i="15"/>
  <c r="K50" i="15"/>
  <c r="J54" i="15"/>
  <c r="H54" i="15"/>
  <c r="F54" i="15"/>
  <c r="K136" i="15"/>
  <c r="J139" i="15"/>
  <c r="H139" i="15"/>
  <c r="F139" i="15"/>
  <c r="F53" i="15"/>
  <c r="J53" i="15"/>
  <c r="H53" i="15"/>
  <c r="H55" i="15"/>
  <c r="J55" i="15"/>
  <c r="F55" i="15"/>
  <c r="K9" i="15"/>
  <c r="K47" i="15" l="1"/>
  <c r="K105" i="15"/>
  <c r="J159" i="15"/>
  <c r="H159" i="15"/>
  <c r="J98" i="15"/>
  <c r="F98" i="15"/>
  <c r="K60" i="15"/>
  <c r="F102" i="15"/>
  <c r="K102" i="15" s="1"/>
  <c r="K83" i="15"/>
  <c r="K46" i="15"/>
  <c r="K97" i="15"/>
  <c r="J100" i="15"/>
  <c r="F100" i="15"/>
  <c r="H99" i="15"/>
  <c r="J99" i="15"/>
  <c r="K99" i="15" s="1"/>
  <c r="J104" i="15"/>
  <c r="F104" i="15"/>
  <c r="H104" i="15"/>
  <c r="H102" i="15"/>
  <c r="K163" i="23"/>
  <c r="K165" i="23" s="1"/>
  <c r="K166" i="23" s="1"/>
  <c r="K167" i="23" s="1"/>
  <c r="K98" i="24"/>
  <c r="K100" i="24" s="1"/>
  <c r="K101" i="24" s="1"/>
  <c r="K102" i="24" s="1"/>
  <c r="K68" i="26"/>
  <c r="K69" i="26" s="1"/>
  <c r="K181" i="24"/>
  <c r="K182" i="24" s="1"/>
  <c r="K75" i="21"/>
  <c r="K77" i="21" s="1"/>
  <c r="K118" i="15"/>
  <c r="K115" i="15"/>
  <c r="K101" i="15"/>
  <c r="K82" i="15"/>
  <c r="F181" i="15"/>
  <c r="K182" i="15" s="1"/>
  <c r="K103" i="15"/>
  <c r="J126" i="15"/>
  <c r="H126" i="15"/>
  <c r="F126" i="15"/>
  <c r="K53" i="15"/>
  <c r="K54" i="15"/>
  <c r="K52" i="15"/>
  <c r="K124" i="15"/>
  <c r="F125" i="15"/>
  <c r="H125" i="15"/>
  <c r="J125" i="15"/>
  <c r="K113" i="15"/>
  <c r="K23" i="15"/>
  <c r="K139" i="15"/>
  <c r="J127" i="15"/>
  <c r="H127" i="15"/>
  <c r="F127" i="15"/>
  <c r="K55" i="15"/>
  <c r="K49" i="15"/>
  <c r="K98" i="15" l="1"/>
  <c r="K159" i="15"/>
  <c r="K100" i="15"/>
  <c r="K125" i="15"/>
  <c r="K104" i="15"/>
  <c r="K70" i="26"/>
  <c r="K72" i="26" s="1"/>
  <c r="K103" i="24"/>
  <c r="K104" i="24" s="1"/>
  <c r="K183" i="24"/>
  <c r="K185" i="24" s="1"/>
  <c r="K168" i="23"/>
  <c r="K169" i="23" s="1"/>
  <c r="K78" i="21"/>
  <c r="K79" i="21" s="1"/>
  <c r="J181" i="15"/>
  <c r="K127" i="15"/>
  <c r="H181" i="15"/>
  <c r="K189" i="15" s="1"/>
  <c r="K126" i="15"/>
  <c r="K181" i="15" l="1"/>
  <c r="K183" i="15" s="1"/>
  <c r="K184" i="15" s="1"/>
  <c r="K185" i="15" s="1"/>
  <c r="K82" i="21"/>
  <c r="D11" i="27"/>
  <c r="D10" i="27" s="1"/>
  <c r="K73" i="26"/>
  <c r="K74" i="26" s="1"/>
  <c r="K76" i="26" s="1"/>
  <c r="D9" i="27" s="1"/>
  <c r="D8" i="27" s="1"/>
  <c r="K186" i="24"/>
  <c r="K187" i="24" s="1"/>
  <c r="K105" i="24"/>
  <c r="K107" i="24" s="1"/>
  <c r="K170" i="23"/>
  <c r="K172" i="23" s="1"/>
  <c r="D7" i="27" l="1"/>
  <c r="I3" i="26"/>
  <c r="K108" i="24"/>
  <c r="K109" i="24" s="1"/>
  <c r="K173" i="23"/>
  <c r="K174" i="23" s="1"/>
  <c r="D13" i="27" s="1"/>
  <c r="I3" i="21"/>
  <c r="K186" i="15"/>
  <c r="K187" i="15" s="1"/>
  <c r="D6" i="27" l="1"/>
  <c r="D5" i="27" s="1"/>
  <c r="K190" i="24"/>
  <c r="I3" i="24" s="1"/>
  <c r="I4" i="23"/>
  <c r="K188" i="15"/>
  <c r="K190" i="15" s="1"/>
  <c r="K191" i="15" l="1"/>
  <c r="K192" i="15" s="1"/>
  <c r="D12" i="27" s="1"/>
  <c r="D14" i="27" s="1"/>
  <c r="I4" i="15" l="1"/>
</calcChain>
</file>

<file path=xl/sharedStrings.xml><?xml version="1.0" encoding="utf-8"?>
<sst xmlns="http://schemas.openxmlformats.org/spreadsheetml/2006/main" count="1461" uniqueCount="485">
  <si>
    <t xml:space="preserve">საერთო  სახარჯთაღრიცხვო  ღირებულება   </t>
  </si>
  <si>
    <t>ლარი</t>
  </si>
  <si>
    <t>N</t>
  </si>
  <si>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</si>
  <si>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</si>
  <si>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</si>
  <si>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</si>
  <si>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</si>
  <si>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>მანქანა-მექანიზმები</t>
  </si>
  <si>
    <t>ჯამი</t>
  </si>
  <si>
    <t>ერთ ფასი</t>
  </si>
  <si>
    <t>გამი</t>
  </si>
  <si>
    <r>
      <rPr>
        <b/>
        <sz val="11"/>
        <rFont val="Sylfaen"/>
        <family val="1"/>
        <charset val="204"/>
      </rPr>
      <t xml:space="preserve"> </t>
    </r>
    <r>
      <rPr>
        <b/>
        <sz val="11"/>
        <color theme="1"/>
        <rFont val="Sylfaen"/>
        <family val="1"/>
        <charset val="204"/>
      </rPr>
      <t>სადემონტაჟო სამუშაოები</t>
    </r>
  </si>
  <si>
    <t>მ²</t>
  </si>
  <si>
    <t>2</t>
  </si>
  <si>
    <r>
      <t>ამორტიზირებული არმსტრონგის (60</t>
    </r>
    <r>
      <rPr>
        <sz val="10"/>
        <color theme="1"/>
        <rFont val="Arial"/>
        <family val="2"/>
        <charset val="204"/>
      </rPr>
      <t>×</t>
    </r>
    <r>
      <rPr>
        <sz val="10"/>
        <color theme="1"/>
        <rFont val="Sylfaen"/>
        <family val="1"/>
        <charset val="204"/>
      </rPr>
      <t xml:space="preserve">60)სმ სანათების დემონტაჟი </t>
    </r>
  </si>
  <si>
    <t>ცალი</t>
  </si>
  <si>
    <t>3</t>
  </si>
  <si>
    <t>ჭერზე არსებული ამორტიზირებული მრგვალი სანათების დემონტაჟი</t>
  </si>
  <si>
    <t xml:space="preserve">ხელსაბანების დემონტაჟი შემრევთან ერთად </t>
  </si>
  <si>
    <t>კომპ</t>
  </si>
  <si>
    <t>გათბობის ლითონის  დ=20მმ და დ=25მმ მილგაყვანილობის ჩაჭრა - დემონტაჟი</t>
  </si>
  <si>
    <t>მ</t>
  </si>
  <si>
    <t>5 სმ სისქის ქვიშა-ცემენტის მჭიმის აყრა</t>
  </si>
  <si>
    <r>
      <t>მ</t>
    </r>
    <r>
      <rPr>
        <sz val="10"/>
        <color theme="1"/>
        <rFont val="Arial"/>
        <family val="2"/>
        <charset val="204"/>
      </rPr>
      <t>³</t>
    </r>
  </si>
  <si>
    <t>7</t>
  </si>
  <si>
    <t>კედლებზე ამორტიზირებული ლამინირებული ბამპერების მოხსნა</t>
  </si>
  <si>
    <t>8</t>
  </si>
  <si>
    <r>
      <t xml:space="preserve">სამშენებლო ნაგვის გამოტანა </t>
    </r>
    <r>
      <rPr>
        <sz val="10"/>
        <color theme="1"/>
        <rFont val="Sylfaen"/>
        <family val="1"/>
        <charset val="204"/>
      </rPr>
      <t xml:space="preserve"> და ა/მ -ზე დატვირთვა </t>
    </r>
  </si>
  <si>
    <t>მ³</t>
  </si>
  <si>
    <t>9</t>
  </si>
  <si>
    <t>სამშენებლო ნაგვის გატანა  ა/თვითმცლელით 20კმ მანძილზე</t>
  </si>
  <si>
    <t>ტნ</t>
  </si>
  <si>
    <r>
      <rPr>
        <b/>
        <sz val="11"/>
        <rFont val="Sylfaen"/>
        <family val="1"/>
        <charset val="204"/>
      </rPr>
      <t xml:space="preserve"> </t>
    </r>
    <r>
      <rPr>
        <b/>
        <sz val="11"/>
        <color theme="1"/>
        <rFont val="Sylfaen"/>
        <family val="1"/>
        <charset val="204"/>
      </rPr>
      <t>სამონტაჟო სამუშაოები</t>
    </r>
  </si>
  <si>
    <t>1.კედლები და ტიხრები</t>
  </si>
  <si>
    <t>10</t>
  </si>
  <si>
    <t xml:space="preserve">კორიდორში კედლების კუთხეებზე დამცავი უჟანგავი ლითონის კუთხოვანების მოწყობა </t>
  </si>
  <si>
    <t>უჟანგავი ლითონის კუთხოვანა</t>
  </si>
  <si>
    <t>სხვა მასალები</t>
  </si>
  <si>
    <t>12</t>
  </si>
  <si>
    <t>კგ</t>
  </si>
  <si>
    <t>13</t>
  </si>
  <si>
    <t>კარის ბლოკების ლითონის ჩარჩოებზე ძველი საღებავის გაფხეკა, დამუშავება და შეღებვა მაღალი ხარისხის ზეთოვანი საღებავით</t>
  </si>
  <si>
    <r>
      <t xml:space="preserve">ზეთოვანი საღებავი 0.4 </t>
    </r>
    <r>
      <rPr>
        <sz val="10"/>
        <color theme="1"/>
        <rFont val="Calibri"/>
        <family val="2"/>
        <charset val="204"/>
      </rPr>
      <t>Χ 86.0</t>
    </r>
  </si>
  <si>
    <r>
      <t>საღებავის გამხსნელი  0.08</t>
    </r>
    <r>
      <rPr>
        <sz val="10"/>
        <color theme="1"/>
        <rFont val="Arial"/>
        <family val="2"/>
        <charset val="204"/>
      </rPr>
      <t>×86.0</t>
    </r>
  </si>
  <si>
    <r>
      <t xml:space="preserve">ზუმფარა     0.009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86.0</t>
    </r>
  </si>
  <si>
    <t>14</t>
  </si>
  <si>
    <t>ლითონის კარის ბლოკების  ძველი საღებავის გაფხეკა, დამუშავება და შეღებვა  ზეთოვანი საღებავით</t>
  </si>
  <si>
    <r>
      <t xml:space="preserve">ზეთოვანი საღებავი 0.4 </t>
    </r>
    <r>
      <rPr>
        <sz val="10"/>
        <color theme="1"/>
        <rFont val="Calibri"/>
        <family val="2"/>
        <charset val="204"/>
      </rPr>
      <t xml:space="preserve">Χ4 </t>
    </r>
  </si>
  <si>
    <r>
      <t>საღებავის გამხსნელი 0.008</t>
    </r>
    <r>
      <rPr>
        <sz val="10"/>
        <color theme="1"/>
        <rFont val="Arial"/>
        <family val="2"/>
        <charset val="204"/>
      </rPr>
      <t>×4</t>
    </r>
    <r>
      <rPr>
        <sz val="10"/>
        <color theme="1"/>
        <rFont val="Sylfaen"/>
        <family val="1"/>
        <charset val="204"/>
      </rPr>
      <t>.0</t>
    </r>
  </si>
  <si>
    <r>
      <t xml:space="preserve">ზუმფარა            0.009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4.0</t>
    </r>
  </si>
  <si>
    <t>15</t>
  </si>
  <si>
    <t>კედლებზე ბამპერების მოწყობა</t>
  </si>
  <si>
    <t>18</t>
  </si>
  <si>
    <t xml:space="preserve">არმსტრონგის ახალი შეკიდული ჭერის მოწყობა </t>
  </si>
  <si>
    <r>
      <t xml:space="preserve">არმსტრონგის ჭერის კარკასი საკიდებით და სხვა დეტალებით       </t>
    </r>
    <r>
      <rPr>
        <sz val="10"/>
        <color rgb="FFFF0000"/>
        <rFont val="Sylfaen"/>
        <family val="1"/>
        <charset val="204"/>
      </rPr>
      <t xml:space="preserve">   </t>
    </r>
  </si>
  <si>
    <r>
      <t>არმსტრონგის  ჭერის  ლამინირებული ნესტგამძლე ფილები (600</t>
    </r>
    <r>
      <rPr>
        <sz val="10"/>
        <color theme="1"/>
        <rFont val="Arial"/>
        <family val="2"/>
        <charset val="204"/>
      </rPr>
      <t>×</t>
    </r>
    <r>
      <rPr>
        <sz val="10"/>
        <color theme="1"/>
        <rFont val="Sylfaen"/>
        <family val="1"/>
        <charset val="204"/>
      </rPr>
      <t>600)მმ</t>
    </r>
  </si>
  <si>
    <t>ხელსაბანი ნიჟარის მონტაჟი, არკოს კრანებით,  შემრევთ, დრეკადი მილებით, სიფონით</t>
  </si>
  <si>
    <t>4. ელექტრობა</t>
  </si>
  <si>
    <r>
      <t>არმსტრონგის LED სანათი (60</t>
    </r>
    <r>
      <rPr>
        <sz val="10"/>
        <color theme="1"/>
        <rFont val="Arial"/>
        <family val="2"/>
        <charset val="204"/>
      </rPr>
      <t>×</t>
    </r>
    <r>
      <rPr>
        <sz val="10"/>
        <color theme="1"/>
        <rFont val="Sylfaen"/>
        <family val="1"/>
        <charset val="204"/>
      </rPr>
      <t>60)სმ   36 ვტ მონტაჟი</t>
    </r>
  </si>
  <si>
    <t>მრგვალი  ჭერში ჩასასმელი LED სანათი  დიოდური IP 33, სანკვანძებისათვის</t>
  </si>
  <si>
    <t>5. ვენტილაცია, გათბობა</t>
  </si>
  <si>
    <t>17</t>
  </si>
  <si>
    <t>გამწოვი დ=100მმ ვენტილატორების მონტაჟი სან კვანძებში ჭერში (ძველი დაზიანებულის შეცვლა)</t>
  </si>
  <si>
    <t>20</t>
  </si>
  <si>
    <t>21</t>
  </si>
  <si>
    <t>22</t>
  </si>
  <si>
    <t>სატრანსპორტო ხარჯი</t>
  </si>
  <si>
    <t>ზედნადები ხარჯი</t>
  </si>
  <si>
    <t>გეგმიური დაგროვება</t>
  </si>
  <si>
    <t>გაუთვალისწინებელი ხარჯი</t>
  </si>
  <si>
    <t>საპენსიო ფონდი</t>
  </si>
  <si>
    <t>დღგ</t>
  </si>
  <si>
    <t>სადემონტაჟო სამუშაოები</t>
  </si>
  <si>
    <t>პლასტიკატის შეკიდული ჭერის ჩამოხსნა კარკასის დაშლით</t>
  </si>
  <si>
    <t>ამორტიზირებული როზეტების დემონტაჟი</t>
  </si>
  <si>
    <t>ამორტიზირებული ჩამრთველების დემონტაჟი</t>
  </si>
  <si>
    <t>2. კარ-ფანჯრები</t>
  </si>
  <si>
    <t>6</t>
  </si>
  <si>
    <t>მეტალოპლასტმასის ფანჯრების შემოწმება რეგულირება, დაზიანებული ანჯამების, საკეტ-სახელურების შეცვლა (საჭიროების მიხედვით)</t>
  </si>
  <si>
    <t>16</t>
  </si>
  <si>
    <t>3. ჭერები</t>
  </si>
  <si>
    <t xml:space="preserve">ნესტგამძლე არმსტრონგის  შეკიდული ჭერის მოწყობა </t>
  </si>
  <si>
    <t>11</t>
  </si>
  <si>
    <t>ელექტრო როზეტი ორპოლუსიანი დამიწების კონტაქტით</t>
  </si>
  <si>
    <t>ცალ</t>
  </si>
  <si>
    <t>ჩამრთველი</t>
  </si>
  <si>
    <t xml:space="preserve"> ჯამი</t>
  </si>
  <si>
    <t xml:space="preserve">არმსტრონგის ჭერებზე ამორტიზირებული ფილების  ჩამოხსნა </t>
  </si>
  <si>
    <t>ამორტიზირებული მდფ-ის ერთფრთიანი კარის ბლოკების დემონტაჟი   შენობიდან გამოტანა და დასაწყობება (1.15 Χ 2.05)მ- 21.0ც</t>
  </si>
  <si>
    <r>
      <t>ამორტიზირებული მდფ-ის  ორფრთიანი კარის ბლოკების  დემონტაჟი შენობიდან გამოტანა და დასაწყობება  (1.50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2.05)მ- 4.0ც; </t>
    </r>
  </si>
  <si>
    <t xml:space="preserve">გათბობის რადიატორების დემონტაჟი  (600*600)- 14.0 ც.        (800*600)- 8.0 ც.  </t>
  </si>
  <si>
    <t>უნიტაზის დემონტაჟი</t>
  </si>
  <si>
    <t>იატაკზე კერამოგრანიტის ფილების აყრა  (კორიდორში) პლინტუსებიანად</t>
  </si>
  <si>
    <t xml:space="preserve">იატაკზე მეთლახის ფილების აყრა </t>
  </si>
  <si>
    <t>ოთახებში ამორტიზებული ლინოლიუმის საფარის მოხსნა პლინტუსების ჩათვლით</t>
  </si>
  <si>
    <t xml:space="preserve">კედლებზე კაფელის ფილების ჩამოყრა 4სმ სისქის ნალესის ჩათვლით </t>
  </si>
  <si>
    <t>1.იატაკები</t>
  </si>
  <si>
    <t>ქვიშა-ცემენტის მჭიმის მოწყობა იატაკებზე სისქე 5სმ მარკით M100</t>
  </si>
  <si>
    <t xml:space="preserve">იატაკის დამუშავება თვითგამასწორებელი ხსნარით (,,უზინი"-ს ტიპის) სისქით 3 მმ </t>
  </si>
  <si>
    <t>კორიდორებში იატაკზე სამედიცინო დანიშნულების ვინილის საფარის მოწყობა 8სმ სიმაღლის პლინტუსით (401.8×1.06)</t>
  </si>
  <si>
    <r>
      <t>ვინილი  სამედიცინო დანიშნულების      425.91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>1.02</t>
    </r>
  </si>
  <si>
    <r>
      <t>ვინილის წებო  0.4</t>
    </r>
    <r>
      <rPr>
        <sz val="10"/>
        <color theme="1"/>
        <rFont val="Arial"/>
        <family val="2"/>
        <charset val="204"/>
      </rPr>
      <t>×425.91</t>
    </r>
  </si>
  <si>
    <t>წებო ბიზონ კიტი  0.3*425.91</t>
  </si>
  <si>
    <t>4</t>
  </si>
  <si>
    <t xml:space="preserve">ჰიდროიზოლაციის მოწყობა იატაკზე ორკომპონენტიანი ჰიდროსაიზოლაციო ხსნარით </t>
  </si>
  <si>
    <t>5</t>
  </si>
  <si>
    <t>მეტლახის ფილების დაგება იატაკზე სან კვანძებში საშხაპე ამოშენებული ქვედის მოწყობით</t>
  </si>
  <si>
    <r>
      <t xml:space="preserve">მეთლახის ფილა     17.2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1.05</t>
    </r>
  </si>
  <si>
    <r>
      <t>წებოცემენტი       17.2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6</t>
    </r>
  </si>
  <si>
    <r>
      <t xml:space="preserve">ფუგა       17.2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0.04</t>
    </r>
  </si>
  <si>
    <t>2.კედლები და ტიხრები</t>
  </si>
  <si>
    <r>
      <t xml:space="preserve">ფითხი         0.35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890</t>
    </r>
  </si>
  <si>
    <r>
      <t xml:space="preserve">სილიკონური (რეცხვადი) საღებავი 0.4 </t>
    </r>
    <r>
      <rPr>
        <sz val="10"/>
        <color theme="1"/>
        <rFont val="Calibri"/>
        <family val="2"/>
        <charset val="204"/>
      </rPr>
      <t>Χ 890.0</t>
    </r>
  </si>
  <si>
    <t>გრუნტი 0.15×890.0</t>
  </si>
  <si>
    <t>საღებავის გამხსნელი 0.08*892.0</t>
  </si>
  <si>
    <r>
      <t xml:space="preserve">ზუმფარა    0.009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892.0</t>
    </r>
  </si>
  <si>
    <t>სამღებრო ბადე ლენტა  0.4×892.0</t>
  </si>
  <si>
    <t>სამღებრო კუთხოვანა  0.3×892.0</t>
  </si>
  <si>
    <r>
      <t xml:space="preserve">ზეთოვანი საღებავი 0.4 </t>
    </r>
    <r>
      <rPr>
        <sz val="10"/>
        <color theme="1"/>
        <rFont val="Calibri"/>
        <family val="2"/>
        <charset val="204"/>
      </rPr>
      <t>Χ 42.0</t>
    </r>
  </si>
  <si>
    <r>
      <t>საღებავის გამხსნელი  0.08</t>
    </r>
    <r>
      <rPr>
        <sz val="10"/>
        <color theme="1"/>
        <rFont val="Arial"/>
        <family val="2"/>
        <charset val="204"/>
      </rPr>
      <t>×42.0</t>
    </r>
  </si>
  <si>
    <r>
      <t xml:space="preserve">ზუმფარა     0.009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42.0</t>
    </r>
  </si>
  <si>
    <t>კადლების ლესვა ქვიშა-ცემენტის ხსნარით სისქე 3.0სმ</t>
  </si>
  <si>
    <r>
      <t>ქვიშა    0.034</t>
    </r>
    <r>
      <rPr>
        <sz val="10"/>
        <color theme="1"/>
        <rFont val="Arial"/>
        <family val="2"/>
        <charset val="204"/>
      </rPr>
      <t>×74.0</t>
    </r>
  </si>
  <si>
    <t>ცემენტი  M400    0.0114   Χ 74.0</t>
  </si>
  <si>
    <t>კედლებზე კაფელის გაკვრა</t>
  </si>
  <si>
    <r>
      <t xml:space="preserve">კაფელის ფილა          74.0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1.03</t>
    </r>
  </si>
  <si>
    <r>
      <t xml:space="preserve">წებოცემენტი                74.0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5</t>
    </r>
  </si>
  <si>
    <r>
      <t xml:space="preserve">ფუგა                74.0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0.04</t>
    </r>
  </si>
  <si>
    <t>3. კარ-ფანჯრები</t>
  </si>
  <si>
    <r>
      <t xml:space="preserve">მდფ-ის ერთფრთიანი    კარის  ბლოკების მონტაჟი   საკეტ-სახელურით და მოწყობილობით    (1.15 </t>
    </r>
    <r>
      <rPr>
        <b/>
        <sz val="10"/>
        <color theme="1"/>
        <rFont val="Calibri"/>
        <family val="2"/>
        <charset val="204"/>
      </rPr>
      <t>Χ</t>
    </r>
    <r>
      <rPr>
        <b/>
        <sz val="10"/>
        <color theme="1"/>
        <rFont val="Sylfaen"/>
        <family val="1"/>
        <charset val="204"/>
      </rPr>
      <t xml:space="preserve"> 2.05)მ - 21.0 ც.</t>
    </r>
  </si>
  <si>
    <r>
      <t xml:space="preserve">მდფ-ის ორფრთიანი კარის ბლოკების მონტაჟი საკეტ-სახელურით და მოწყობილობით     (1.50 </t>
    </r>
    <r>
      <rPr>
        <b/>
        <sz val="10"/>
        <color theme="1"/>
        <rFont val="Arial"/>
        <family val="2"/>
        <charset val="204"/>
      </rPr>
      <t>×</t>
    </r>
    <r>
      <rPr>
        <b/>
        <sz val="10"/>
        <color theme="1"/>
        <rFont val="Sylfaen"/>
        <family val="1"/>
        <charset val="204"/>
      </rPr>
      <t>2.05)მ - 4ც</t>
    </r>
  </si>
  <si>
    <t>4. ჭერები</t>
  </si>
  <si>
    <t xml:space="preserve">არმსტრონგის  შეკიდული ჭერის  ფილების (600×600)მმ  მოწყობა </t>
  </si>
  <si>
    <r>
      <t>არმსტრონგის  ჭერის   ფილები (600</t>
    </r>
    <r>
      <rPr>
        <sz val="10"/>
        <color theme="1"/>
        <rFont val="Arial"/>
        <family val="2"/>
        <charset val="204"/>
      </rPr>
      <t>×</t>
    </r>
    <r>
      <rPr>
        <sz val="10"/>
        <color theme="1"/>
        <rFont val="Sylfaen"/>
        <family val="1"/>
        <charset val="204"/>
      </rPr>
      <t>600)მმ</t>
    </r>
  </si>
  <si>
    <t>5.წყალგაყვანილობა კანალიზაცია</t>
  </si>
  <si>
    <t>23</t>
  </si>
  <si>
    <t>25</t>
  </si>
  <si>
    <t xml:space="preserve">უნიტაზი არკოს ტიპის კრანი, დრეკადი მილი </t>
  </si>
  <si>
    <t>6. ელექტრობა</t>
  </si>
  <si>
    <t>7. ვენტილაცია, გათბობა</t>
  </si>
  <si>
    <t>ამორტიზებული  არმსტრონგის ჭერის დემონტაჟი</t>
  </si>
  <si>
    <t>ამორტიზირებული მდფ-ის ერთფრთიანი კარის ბლოკების დემონტაჟი   შენობიდან გამოტანა და დასაწყობება (1.15 Χ 2.05)მ- 9.0ც</t>
  </si>
  <si>
    <r>
      <t>ამორტიზირებული მდფ-ის  ორფრთიანი კარის ბლოკების  დემონტაჟი შენობიდან გამოტანა და დასაწყობება  (1.50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2.05)მ- 6.0ც; </t>
    </r>
  </si>
  <si>
    <t>გათბობის რადიატორების დემონტაჟი          (800*600)- 11.0 ც.</t>
  </si>
  <si>
    <r>
      <t xml:space="preserve">მეთლახის ფილა     2.0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1.05</t>
    </r>
  </si>
  <si>
    <r>
      <t xml:space="preserve">წებოცემენტი       2.0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6</t>
    </r>
  </si>
  <si>
    <r>
      <t xml:space="preserve">ფუგა       2.0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0.04</t>
    </r>
  </si>
  <si>
    <r>
      <t xml:space="preserve">მდფ-ის ორფრთიანი კარის ბლოკების მონტაჟი საკეტ-სახელურით და მოწყობილობით     (1.50 </t>
    </r>
    <r>
      <rPr>
        <b/>
        <sz val="10"/>
        <color theme="1"/>
        <rFont val="Arial"/>
        <family val="2"/>
        <charset val="204"/>
      </rPr>
      <t>×</t>
    </r>
    <r>
      <rPr>
        <b/>
        <sz val="10"/>
        <color theme="1"/>
        <rFont val="Sylfaen"/>
        <family val="1"/>
        <charset val="204"/>
      </rPr>
      <t>2.05)მ - 6ც</t>
    </r>
  </si>
  <si>
    <t>5. ელექტრობა</t>
  </si>
  <si>
    <t>6. ვენტილაცია, გათბობა</t>
  </si>
  <si>
    <t>№</t>
  </si>
  <si>
    <t>სარემონტო ფართის დასახელება</t>
  </si>
  <si>
    <t>სამუშაოების ღირებულება  დღგ-ს ჩათვლით (ლარი)</t>
  </si>
  <si>
    <t>I სართული</t>
  </si>
  <si>
    <t>II სართული</t>
  </si>
  <si>
    <t>სულ ჯამი</t>
  </si>
  <si>
    <t>3-1</t>
  </si>
  <si>
    <t>2-1</t>
  </si>
  <si>
    <t>1-1</t>
  </si>
  <si>
    <t>1-2</t>
  </si>
  <si>
    <t>მიმღებ დიაგნოსტიკური დეპარტამენტი</t>
  </si>
  <si>
    <t xml:space="preserve"> ქალთა კონსულტაცია</t>
  </si>
  <si>
    <t xml:space="preserve"> საოპერაციო ბლოკი</t>
  </si>
  <si>
    <t>ამორტიზირებული პლასტიკატის ჭერის დემონტაჟი</t>
  </si>
  <si>
    <t xml:space="preserve">სამშენებლო ნაგვის ჩამოტანა II სართულიდან და ა/მ -ზე დატვირთვა </t>
  </si>
  <si>
    <t xml:space="preserve"> სამონტაჟო სამუშაოები</t>
  </si>
  <si>
    <t>1. იატაკები</t>
  </si>
  <si>
    <r>
      <t xml:space="preserve">თვითგამასწორებელი ხსნარი   845.8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5.0</t>
    </r>
  </si>
  <si>
    <t>4. კარ-ფანჯრები</t>
  </si>
  <si>
    <t>სამონტაჟო სამუშაოები</t>
  </si>
  <si>
    <t>19</t>
  </si>
  <si>
    <t xml:space="preserve"> სადემონტაჟო სამუშაოები</t>
  </si>
  <si>
    <t>არმსტრონგის სანათების დემონტაჟი დასაწყობებით (დაუზიანებლად)</t>
  </si>
  <si>
    <t>ც</t>
  </si>
  <si>
    <t>როზეტების დემონტაჟი</t>
  </si>
  <si>
    <t>ჩამრთველების დემონტაჟი</t>
  </si>
  <si>
    <t>სამზარეულო ნიჟარის დემონტაჟი შემრევთან ერთად</t>
  </si>
  <si>
    <t>საშხაპე ქვედის დემონტაჟი შემრევთან ერთად</t>
  </si>
  <si>
    <t>პლასტიკატის შეკიდული ჭერის დემონტაჟი კარკასის დაშლით</t>
  </si>
  <si>
    <t>ლითონის პროფილური (60Χ60)სმ ზომის ფურცლების შეკიდული ჭერის დემონტაჟი საოპერაციოებში კარკასის დაშლით</t>
  </si>
  <si>
    <t>მეტალო პლასტმასის ფაჯრებზე ხის რაფების მოხსნა (1.4Χ 0.25)მ-11ც</t>
  </si>
  <si>
    <t>2. კედლები და ტიხრები</t>
  </si>
  <si>
    <t>თ/მ პოფილი და სხვა მასალები 1მ² ტიხარზე</t>
  </si>
  <si>
    <t>თ/მ პოფილი და სხვა მასალები 1მ² შეფუთვაზე</t>
  </si>
  <si>
    <t>თ/მ პროფილი და სხვა მასალები 1მ² ჭერზე</t>
  </si>
  <si>
    <t xml:space="preserve"> </t>
  </si>
  <si>
    <t>4. სამღებრო სამუშაოები</t>
  </si>
  <si>
    <t>სამღებრო ბადე ლენტა</t>
  </si>
  <si>
    <t>5. კარ-ფანჯრები</t>
  </si>
  <si>
    <t>24</t>
  </si>
  <si>
    <t>26</t>
  </si>
  <si>
    <t>27</t>
  </si>
  <si>
    <t>28</t>
  </si>
  <si>
    <t>29</t>
  </si>
  <si>
    <t>30</t>
  </si>
  <si>
    <t>სამონტაჟო ქაფი 800-1000გრ</t>
  </si>
  <si>
    <t>31</t>
  </si>
  <si>
    <t>6. წყალგაყვანილობა კანალიზაცია</t>
  </si>
  <si>
    <t>32</t>
  </si>
  <si>
    <t>33</t>
  </si>
  <si>
    <t>34</t>
  </si>
  <si>
    <t>35</t>
  </si>
  <si>
    <t>36</t>
  </si>
  <si>
    <t xml:space="preserve"> დ 50 მმ.  ტრაპის მონტაჟი </t>
  </si>
  <si>
    <t>37</t>
  </si>
  <si>
    <t>კანალიზაციის დ 50 მმ. მილები,  ფასონური დელატებით</t>
  </si>
  <si>
    <t>გრ.მ</t>
  </si>
  <si>
    <t>38</t>
  </si>
  <si>
    <t>კანალიზაციის დ 100 მმ. მილები,  ფასონური დელატებით</t>
  </si>
  <si>
    <t>39</t>
  </si>
  <si>
    <t>წყალგაყვანილობის დ 20 მმ. (ცივი და ცხელი წყლის მილების მონტაჟი) დ 20 მმ. ფასონური დელატებით</t>
  </si>
  <si>
    <t>40</t>
  </si>
  <si>
    <t xml:space="preserve">ვენტილი დ 20 მმ. </t>
  </si>
  <si>
    <t>41</t>
  </si>
  <si>
    <t>არმსტრონგის LED სანათი IP 30 მონტაჟი</t>
  </si>
  <si>
    <t>მრგვალი  სანათი  დიოდური IP 33, სანკვანძებისათვის</t>
  </si>
  <si>
    <t>ელექტრო გამანაწილებლი კოლოფები</t>
  </si>
  <si>
    <t>ელ. გამანაწილებლი ფარი, ინდივიდუალური ანაკრეფი,დაცვის კლასით IP30</t>
  </si>
  <si>
    <t>უწყვეტი დენის წყარო 380 ვ.  11 კვტ. სამონტაჟო მასალებით</t>
  </si>
  <si>
    <t xml:space="preserve">სპილენძის ძარღვიანი კაბელი, ორმაგი არაალებადი იზოლაციის, კვეთით 3X1,5 მმ² </t>
  </si>
  <si>
    <t>იგივე 3X2,5 მმ²</t>
  </si>
  <si>
    <t>გოფრირებული პლასტმასის მილები</t>
  </si>
  <si>
    <t>ავტომატური სახანძრო სიგნალიზაციის სამისამართო საკონტროლო პანელი, გამმართავი ბლოკით, აკუმულატორით</t>
  </si>
  <si>
    <t>სამისამართო ოპტიკური კვამლმაუწყებელი</t>
  </si>
  <si>
    <t>სახანძრო საგანგაშო ღილაკი</t>
  </si>
  <si>
    <t>აკუსტიკური სიგნალიზატორი შუქფარით</t>
  </si>
  <si>
    <t>სახანძრო სპეციალური კაბელი</t>
  </si>
  <si>
    <r>
      <t xml:space="preserve">ამორტიზირებული მდფ-ის  ორფრთიანი კარის ფრთის დემონტაჟი ლითონის ჩარჩოს დაუზიანებლად, შენობიდან გამოტანა და დასაწყობება  (1.45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2.0)მ- 6.0ც; </t>
    </r>
  </si>
  <si>
    <t>№1-4    ქალთა კონსულტაცია</t>
  </si>
  <si>
    <t>№1-3     მიმღებ დიაგნოსტიკური დეპარტამენტი</t>
  </si>
  <si>
    <t>№2-3   კრიტიკული მედიცინის განყოფილება (საოპერაციო ბლოკი)</t>
  </si>
  <si>
    <t>პლასტიკატის შეკიდული ჭერის ჩამოხსნა კარკასის დასლით</t>
  </si>
  <si>
    <t>გათბობის რადიატორების დემონტაჟი  (600*600)მმ -   24.0 ც;  (1200*600)მმ- 1.0 ც;           (800*600)- 24.0 ც.</t>
  </si>
  <si>
    <t>თაბაშირ/მუყაოს ფილების ამოჭრა და მოხსნა გათბობის სადემონტაჟო მილების გასწვრივ</t>
  </si>
  <si>
    <r>
      <t>მ</t>
    </r>
    <r>
      <rPr>
        <sz val="10"/>
        <color theme="1"/>
        <rFont val="Arial"/>
        <family val="2"/>
        <charset val="204"/>
      </rPr>
      <t>²</t>
    </r>
  </si>
  <si>
    <t xml:space="preserve">სამშენებლო ნაგვის ჩამოტანა III სართულიდან და ა/მ -ზე დატვირთვა </t>
  </si>
  <si>
    <t xml:space="preserve">კედლების და გათბობის ახალი მილების შეფუთვა  თაბაშირ/მუყაოს ფილებით </t>
  </si>
  <si>
    <r>
      <t>თაბ.მუყ. ფილა ჩვეულებრივი              122.0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1.05</t>
    </r>
  </si>
  <si>
    <r>
      <t xml:space="preserve">ფითხი   0.25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2064.0</t>
    </r>
  </si>
  <si>
    <r>
      <t xml:space="preserve">სილიკონური (რეცხვადი) საღებავი 0.4 </t>
    </r>
    <r>
      <rPr>
        <sz val="10"/>
        <color theme="1"/>
        <rFont val="Calibri"/>
        <family val="2"/>
        <charset val="204"/>
      </rPr>
      <t>Χ 2064.0</t>
    </r>
  </si>
  <si>
    <t>გრუნტი 0.15×2064.0</t>
  </si>
  <si>
    <t>საღებავის გამხსნელი 0.08*2064.0</t>
  </si>
  <si>
    <r>
      <t xml:space="preserve">ზუმფარა     0.009 </t>
    </r>
    <r>
      <rPr>
        <sz val="10"/>
        <color theme="1"/>
        <rFont val="Calibri"/>
        <family val="2"/>
        <charset val="204"/>
      </rPr>
      <t>Χ 2064.0</t>
    </r>
  </si>
  <si>
    <t>სამღებრო ბადე ლენტა  0.4×2064.0</t>
  </si>
  <si>
    <t>სამღებრო კუთხოვანა  0.3×2064.0</t>
  </si>
  <si>
    <t xml:space="preserve">არმსტრონგის შეკიდული ჭერის  ფილების (600×600)მმ  მოწყობა </t>
  </si>
  <si>
    <t>№3-1       ხუთსართულიანი ფლიგელი</t>
  </si>
  <si>
    <t>მეტალოპლასტმასის  ერთფრთიანი კარის ფრთის დემონტაჟი  ლითონის ჩარჩოს დაუზიანებლად,  შენობიდან გამოტანა და დასაწყობება (1.1 Χ 2.0)მ- 8.0ც</t>
  </si>
  <si>
    <r>
      <t xml:space="preserve">მეტალოპლასტმასის ორფრთიანი კარის ფრთის დემონტაჟი ლითონის ჩარჩოს დაუზიანებლად, შენობიდან გამოტანა და დასაწყობება  (1.45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2.0)მ- 1.0ც; </t>
    </r>
  </si>
  <si>
    <t>დ=50მმ ტრაპების დემონტაჟი</t>
  </si>
  <si>
    <t>გათბობის რადიატორების დემონტაჟი  (600*600)მმ -   25.0 ც;  (1200*600)მმ- 1.0 ც;  (1000*600)-  7ც;           (800*600)- 16.0 ც.</t>
  </si>
  <si>
    <t>გათბობის ლითონის  დ=20მმ მილგაყვანილობის ჩაჭრა - დემონტაჟი</t>
  </si>
  <si>
    <t>იატაკზე მეთლახის ფილების აყრა პლინტუსების ჩათვლით</t>
  </si>
  <si>
    <t>იატაკზე ამორტიზირებული ლინოლიუმის საფარის მოხსნა   8სმ სიმაღლის პლინტუსების ჩათვლით</t>
  </si>
  <si>
    <t>კედლებზე კაფელის ფილების ჩამოყრა 4სმ სისქის ნალესის ჩათვლით (ხელსაბანების ფართუკები და კედლებზე)</t>
  </si>
  <si>
    <t xml:space="preserve">ამორტიზირებული ლამინირებული დსპ-ს ფილების ფანჯრის რაფის მოხსნა </t>
  </si>
  <si>
    <r>
      <t>სამშენებლო ნაგვის ჩამოტანა I</t>
    </r>
    <r>
      <rPr>
        <sz val="10"/>
        <color theme="1"/>
        <rFont val="AcadNusx"/>
      </rPr>
      <t>V</t>
    </r>
    <r>
      <rPr>
        <sz val="10"/>
        <color theme="1"/>
        <rFont val="Sylfaen"/>
        <family val="1"/>
        <charset val="204"/>
      </rPr>
      <t xml:space="preserve"> სართულიდან და ა/მ -ზე დატვირთვა </t>
    </r>
  </si>
  <si>
    <r>
      <t xml:space="preserve">ქვიშა                 0.062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453.0</t>
    </r>
  </si>
  <si>
    <r>
      <t xml:space="preserve">ცემენტი  M400       0.0155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453.0</t>
    </r>
  </si>
  <si>
    <t>კომბინირებული თ/მუყაოს ტიხრების მოწყობა ნესტგამძლე და ჩვეულებრივი ფილებით ფილებით იზოლაციით (პალატებში სან-კვანძების 9.0 ცალი მოწყობის მიზნით)</t>
  </si>
  <si>
    <t>კედლების და მილების შეფუთვა ნესტგამძლე თაბაშირ/მუყაოს ფილებით (საპროექტო სან კვანძებში)</t>
  </si>
  <si>
    <r>
      <t xml:space="preserve">ფითხი   0.25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1910.0.0</t>
    </r>
  </si>
  <si>
    <r>
      <t xml:space="preserve">სილიკონური (რეცხვადი) საღებავი 0.4 </t>
    </r>
    <r>
      <rPr>
        <sz val="10"/>
        <color theme="1"/>
        <rFont val="Calibri"/>
        <family val="2"/>
        <charset val="204"/>
      </rPr>
      <t>Χ 1910.0</t>
    </r>
  </si>
  <si>
    <r>
      <t>გრუნტი 0.15</t>
    </r>
    <r>
      <rPr>
        <sz val="10"/>
        <color theme="1"/>
        <rFont val="Arial"/>
        <family val="2"/>
        <charset val="204"/>
      </rPr>
      <t>×1910</t>
    </r>
    <r>
      <rPr>
        <sz val="10"/>
        <color theme="1"/>
        <rFont val="Sylfaen"/>
        <family val="1"/>
        <charset val="204"/>
      </rPr>
      <t>.0</t>
    </r>
  </si>
  <si>
    <t>საღებავის გამხსნელი  0.008*1910.0</t>
  </si>
  <si>
    <r>
      <t xml:space="preserve">ზუმფარა     0.009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1910.0</t>
    </r>
  </si>
  <si>
    <r>
      <t>სამღებრო ბადე ლენტა  0.4</t>
    </r>
    <r>
      <rPr>
        <sz val="10"/>
        <color theme="1"/>
        <rFont val="Arial"/>
        <family val="2"/>
        <charset val="204"/>
      </rPr>
      <t>×1910</t>
    </r>
    <r>
      <rPr>
        <sz val="10"/>
        <color theme="1"/>
        <rFont val="Sylfaen"/>
        <family val="1"/>
        <charset val="204"/>
      </rPr>
      <t>.0</t>
    </r>
  </si>
  <si>
    <r>
      <t>სამღებრო კუთხოვანა  0.3</t>
    </r>
    <r>
      <rPr>
        <sz val="10"/>
        <color theme="1"/>
        <rFont val="Arial"/>
        <family val="2"/>
        <charset val="204"/>
      </rPr>
      <t>×1910</t>
    </r>
    <r>
      <rPr>
        <sz val="10"/>
        <color theme="1"/>
        <rFont val="Sylfaen"/>
        <family val="1"/>
        <charset val="204"/>
      </rPr>
      <t>.0</t>
    </r>
  </si>
  <si>
    <t>გრუნტი 0.15×559.6</t>
  </si>
  <si>
    <r>
      <t xml:space="preserve">ზეთოვანი საღებავი 0.4 </t>
    </r>
    <r>
      <rPr>
        <sz val="10"/>
        <color theme="1"/>
        <rFont val="Calibri"/>
        <family val="2"/>
        <charset val="204"/>
      </rPr>
      <t>Χ 72.0</t>
    </r>
  </si>
  <si>
    <r>
      <t>საღებავის გამხსნელი  0.08</t>
    </r>
    <r>
      <rPr>
        <sz val="10"/>
        <color theme="1"/>
        <rFont val="Arial"/>
        <family val="2"/>
        <charset val="204"/>
      </rPr>
      <t>×</t>
    </r>
    <r>
      <rPr>
        <sz val="10"/>
        <color theme="1"/>
        <rFont val="Sylfaen"/>
        <family val="1"/>
        <charset val="204"/>
      </rPr>
      <t>72.0</t>
    </r>
  </si>
  <si>
    <r>
      <t xml:space="preserve">ზუმფარა     0.009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72.0</t>
    </r>
  </si>
  <si>
    <r>
      <t>ლამინირებული "დსპ"  (250 მმ * 12 მმ)  1.05</t>
    </r>
    <r>
      <rPr>
        <sz val="10"/>
        <color theme="1"/>
        <rFont val="Arial"/>
        <family val="2"/>
        <charset val="204"/>
      </rPr>
      <t>×</t>
    </r>
    <r>
      <rPr>
        <sz val="10"/>
        <color theme="1"/>
        <rFont val="Sylfaen"/>
        <family val="1"/>
        <charset val="204"/>
      </rPr>
      <t>164.0</t>
    </r>
  </si>
  <si>
    <t>3.ჭერები</t>
  </si>
  <si>
    <r>
      <t>არმსტრონგის  ჭერის  ფილები (600</t>
    </r>
    <r>
      <rPr>
        <sz val="10"/>
        <color theme="1"/>
        <rFont val="Arial"/>
        <family val="2"/>
        <charset val="204"/>
      </rPr>
      <t>×</t>
    </r>
    <r>
      <rPr>
        <sz val="10"/>
        <color theme="1"/>
        <rFont val="Sylfaen"/>
        <family val="1"/>
        <charset val="204"/>
      </rPr>
      <t>600)მმ</t>
    </r>
  </si>
  <si>
    <t>4.კარ-ფანჯრები</t>
  </si>
  <si>
    <r>
      <t>სამაგრი ხის კოჭი  50</t>
    </r>
    <r>
      <rPr>
        <sz val="10"/>
        <color theme="1"/>
        <rFont val="Arial"/>
        <family val="2"/>
        <charset val="204"/>
      </rPr>
      <t>×</t>
    </r>
    <r>
      <rPr>
        <sz val="10"/>
        <color theme="1"/>
        <rFont val="Sylfaen"/>
        <family val="1"/>
        <charset val="204"/>
      </rPr>
      <t>50 მმ</t>
    </r>
  </si>
  <si>
    <t>მეტალო პლასტმასის ფანჯრებზე პლასტმასის 0.3მ სიგანის რაფების მოწყობა</t>
  </si>
  <si>
    <t>სამზარეულოს 2-იანი ნიჟარის მონტაჟი შემრევით, არკოს კრანებით, დრეკადი შლანგებით, სიფონით</t>
  </si>
  <si>
    <t xml:space="preserve"> საშხაპე შემრევის მოწყობა</t>
  </si>
  <si>
    <t>6.ელექტრობა</t>
  </si>
  <si>
    <t>7.ვენტილაცია, გათბობა</t>
  </si>
  <si>
    <t>გამწოვი დ=100მმ ვენტილატორების მონტაჟი სან კვანძებში დ=100მმ ნახვრეტის მოწყობით ჭერში</t>
  </si>
  <si>
    <t>დ=100მმ პლასტმასის ჰაერსატარების მონტაჟი</t>
  </si>
  <si>
    <t>48</t>
  </si>
  <si>
    <r>
      <t xml:space="preserve">სავენტილაციო ცხაურების მონტაჟი პლასტიკატისა ამსტრონგის შეკიდულ ჭერში (0.2 </t>
    </r>
    <r>
      <rPr>
        <sz val="10"/>
        <color theme="1"/>
        <rFont val="Arial"/>
        <family val="2"/>
        <charset val="204"/>
      </rPr>
      <t>×</t>
    </r>
    <r>
      <rPr>
        <sz val="10"/>
        <color theme="1"/>
        <rFont val="Sylfaen"/>
        <family val="1"/>
        <charset val="204"/>
      </rPr>
      <t xml:space="preserve"> 0.3)მ</t>
    </r>
  </si>
  <si>
    <t>49</t>
  </si>
  <si>
    <t>50</t>
  </si>
  <si>
    <t>ამორტიზირებული მდფ-ის ერთფრთიანი კარის ფრთის დემონტაჟი  ლითონის ჩარჩოს დაუზიანებლად,  შენობიდან გამოტანა და დასაწყობება (1.1 Χ 2.0)მ- 42.0ც</t>
  </si>
  <si>
    <r>
      <t xml:space="preserve">ამორტიზირებული მდფ-ის  ორფრთიანი კარის ფრთის დემონტაჟი ლითონის ჩარჩოს დაუზიანებლად, შენობიდან გამოტანა და დასაწყობება  (1.45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2.0)მ- 8.0ც; </t>
    </r>
  </si>
  <si>
    <t>გათბობის ლითონის დ=20მმ  მილგაყვანილობის ჩაჭრა - დემონტაჟი</t>
  </si>
  <si>
    <t xml:space="preserve">აგურის 34 სმ სისქის ტიხრების დაშლა </t>
  </si>
  <si>
    <r>
      <t xml:space="preserve">სამშენებლო ნაგვის ჩამოტანა </t>
    </r>
    <r>
      <rPr>
        <sz val="10"/>
        <color theme="1"/>
        <rFont val="AcadNusx"/>
      </rPr>
      <t>V</t>
    </r>
    <r>
      <rPr>
        <sz val="10"/>
        <color theme="1"/>
        <rFont val="Sylfaen"/>
        <family val="1"/>
        <charset val="204"/>
      </rPr>
      <t xml:space="preserve"> სართულიდან და ა/მ -ზე დატვირთვა </t>
    </r>
  </si>
  <si>
    <r>
      <t xml:space="preserve">ქვიშა                 0.062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475.0</t>
    </r>
  </si>
  <si>
    <r>
      <t xml:space="preserve">ცემენტი  M400       0.0155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475.0</t>
    </r>
  </si>
  <si>
    <r>
      <t xml:space="preserve">მეთლახის ფილა     132.0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1.05</t>
    </r>
  </si>
  <si>
    <r>
      <t xml:space="preserve">წებოცემენტი       133.0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6</t>
    </r>
  </si>
  <si>
    <r>
      <t xml:space="preserve">ფუგა       133.0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0.04</t>
    </r>
  </si>
  <si>
    <r>
      <t xml:space="preserve">თაბ.მუყ. ფილა ჩვეულებრივი  12.5მმ            94.0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1.05</t>
    </r>
  </si>
  <si>
    <r>
      <t xml:space="preserve">თაბ.მუყ. ნესტგამძლე  12.5მმ                      (94.0+91.8) 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1.05       </t>
    </r>
  </si>
  <si>
    <t>საიზოლაციო მასალა  ეკო ბამბა (ან ანალოგიური სხვა ეკოლოგიური მასალა)  1.02*94.0</t>
  </si>
  <si>
    <r>
      <t>ქვიშა    0.034</t>
    </r>
    <r>
      <rPr>
        <sz val="10"/>
        <color theme="1"/>
        <rFont val="Arial"/>
        <family val="2"/>
        <charset val="204"/>
      </rPr>
      <t>×320.0</t>
    </r>
  </si>
  <si>
    <t>ცემენტი  M400    0.0114   Χ 320.0</t>
  </si>
  <si>
    <r>
      <t xml:space="preserve">კაფელის ფილა           505.8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1.03</t>
    </r>
  </si>
  <si>
    <r>
      <t xml:space="preserve">წებოცემენტი                 505.8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5</t>
    </r>
  </si>
  <si>
    <r>
      <t>ფუგა                505.8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0.04</t>
    </r>
  </si>
  <si>
    <r>
      <t xml:space="preserve">ფითხი   0.25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1930.0</t>
    </r>
  </si>
  <si>
    <r>
      <t xml:space="preserve">სილიკონური (რეცხვადი) საღებავი 0.4 </t>
    </r>
    <r>
      <rPr>
        <sz val="10"/>
        <color theme="1"/>
        <rFont val="Calibri"/>
        <family val="2"/>
        <charset val="204"/>
      </rPr>
      <t>Χ 1930.0</t>
    </r>
  </si>
  <si>
    <r>
      <t>გრუნტი 0.15</t>
    </r>
    <r>
      <rPr>
        <sz val="10"/>
        <color theme="1"/>
        <rFont val="Arial"/>
        <family val="2"/>
        <charset val="204"/>
      </rPr>
      <t>×1930</t>
    </r>
    <r>
      <rPr>
        <sz val="10"/>
        <color theme="1"/>
        <rFont val="Sylfaen"/>
        <family val="1"/>
        <charset val="204"/>
      </rPr>
      <t>.0</t>
    </r>
  </si>
  <si>
    <t>საღებავის გამხსნელი 0.08*1930.0</t>
  </si>
  <si>
    <r>
      <t xml:space="preserve">ზუმფარა     0.009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1930.0</t>
    </r>
  </si>
  <si>
    <r>
      <t>სამღებრო ბადე ლენტა  0.4</t>
    </r>
    <r>
      <rPr>
        <sz val="10"/>
        <color theme="1"/>
        <rFont val="Arial"/>
        <family val="2"/>
        <charset val="204"/>
      </rPr>
      <t>×1930</t>
    </r>
    <r>
      <rPr>
        <sz val="10"/>
        <color theme="1"/>
        <rFont val="Sylfaen"/>
        <family val="1"/>
        <charset val="204"/>
      </rPr>
      <t>.0</t>
    </r>
  </si>
  <si>
    <r>
      <t>სამღებრო კუთხოვანა  0.3</t>
    </r>
    <r>
      <rPr>
        <sz val="10"/>
        <color theme="1"/>
        <rFont val="Arial"/>
        <family val="2"/>
        <charset val="204"/>
      </rPr>
      <t>×1930</t>
    </r>
    <r>
      <rPr>
        <sz val="10"/>
        <color theme="1"/>
        <rFont val="Sylfaen"/>
        <family val="1"/>
        <charset val="204"/>
      </rPr>
      <t>.0</t>
    </r>
  </si>
  <si>
    <t>თაბაშირ/მუყაოს ტიხრებისა და ჭერის  შეფითხვნა, დამუშავება, დაგრუნტვა და შეღებვა სილიკონური (რეცხვადი) საღებავით</t>
  </si>
  <si>
    <r>
      <t xml:space="preserve">ფითხი   0.25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153.0</t>
    </r>
  </si>
  <si>
    <r>
      <t xml:space="preserve">სილიკონური (რეცხვადი) საღებავი 0.4 </t>
    </r>
    <r>
      <rPr>
        <sz val="10"/>
        <color theme="1"/>
        <rFont val="Calibri"/>
        <family val="2"/>
        <charset val="204"/>
      </rPr>
      <t>Χ 153.0</t>
    </r>
  </si>
  <si>
    <t>გრუნტი 0.15×282.0</t>
  </si>
  <si>
    <t>საღებავის გამხსნელი 0.08*153.0</t>
  </si>
  <si>
    <r>
      <t xml:space="preserve">ზუმფარა     0.009 </t>
    </r>
    <r>
      <rPr>
        <sz val="10"/>
        <color theme="1"/>
        <rFont val="Calibri"/>
        <family val="2"/>
        <charset val="204"/>
      </rPr>
      <t>Χ 153.0</t>
    </r>
    <r>
      <rPr>
        <sz val="10"/>
        <color theme="1"/>
        <rFont val="Sylfaen"/>
        <family val="1"/>
        <charset val="204"/>
      </rPr>
      <t xml:space="preserve"> </t>
    </r>
  </si>
  <si>
    <t>სამღებრო ბადე ლენტა  0.4×153.0</t>
  </si>
  <si>
    <t>სამღებრო კუთხოვანა  0.3×153.0</t>
  </si>
  <si>
    <r>
      <t>CT-ოთახში კედლებზე და ჭერზე ძველი საღებავის გაფხეკა, დამუშავება შეფთხვნა, დაგრუნტვა და შეღებვა სილიკონური (რეცხვადი)</t>
    </r>
    <r>
      <rPr>
        <b/>
        <sz val="10"/>
        <color rgb="FFFF0000"/>
        <rFont val="Sylfaen"/>
        <family val="1"/>
        <charset val="204"/>
      </rPr>
      <t xml:space="preserve">  </t>
    </r>
    <r>
      <rPr>
        <b/>
        <sz val="10"/>
        <color theme="1"/>
        <rFont val="Sylfaen"/>
        <family val="1"/>
        <charset val="204"/>
      </rPr>
      <t>სარებავით</t>
    </r>
  </si>
  <si>
    <r>
      <t xml:space="preserve">ფითხი   0.25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98.3</t>
    </r>
  </si>
  <si>
    <r>
      <t xml:space="preserve">სილიკონური (რეცხვადი) საღებავი 0.4 </t>
    </r>
    <r>
      <rPr>
        <sz val="10"/>
        <color theme="1"/>
        <rFont val="Calibri"/>
        <family val="2"/>
        <charset val="204"/>
      </rPr>
      <t>Χ 98.3</t>
    </r>
  </si>
  <si>
    <r>
      <t>გრუნტი 0.15</t>
    </r>
    <r>
      <rPr>
        <sz val="10"/>
        <color theme="1"/>
        <rFont val="Arial"/>
        <family val="2"/>
        <charset val="204"/>
      </rPr>
      <t>×</t>
    </r>
    <r>
      <rPr>
        <sz val="10"/>
        <color theme="1"/>
        <rFont val="Sylfaen"/>
        <family val="1"/>
        <charset val="204"/>
      </rPr>
      <t>98.3</t>
    </r>
  </si>
  <si>
    <r>
      <t>საღებავის გამხსნელი  0.08</t>
    </r>
    <r>
      <rPr>
        <sz val="10"/>
        <color theme="1"/>
        <rFont val="Arial"/>
        <family val="2"/>
        <charset val="204"/>
      </rPr>
      <t>×</t>
    </r>
    <r>
      <rPr>
        <sz val="10"/>
        <color theme="1"/>
        <rFont val="Sylfaen"/>
        <family val="1"/>
        <charset val="204"/>
      </rPr>
      <t>98.3</t>
    </r>
  </si>
  <si>
    <r>
      <t xml:space="preserve">ზუმფარა     0.009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98.3</t>
    </r>
  </si>
  <si>
    <r>
      <t>სამღებრო ბადე ლენტა 0.4</t>
    </r>
    <r>
      <rPr>
        <sz val="10"/>
        <color theme="1"/>
        <rFont val="Arial"/>
        <family val="2"/>
        <charset val="204"/>
      </rPr>
      <t>×</t>
    </r>
    <r>
      <rPr>
        <sz val="10"/>
        <color theme="1"/>
        <rFont val="Sylfaen"/>
        <family val="1"/>
        <charset val="204"/>
      </rPr>
      <t>98.3</t>
    </r>
  </si>
  <si>
    <r>
      <t>სამღებრო კუთხოვანა  0.3</t>
    </r>
    <r>
      <rPr>
        <sz val="10"/>
        <color theme="1"/>
        <rFont val="Arial"/>
        <family val="2"/>
        <charset val="204"/>
      </rPr>
      <t>×</t>
    </r>
    <r>
      <rPr>
        <sz val="10"/>
        <color theme="1"/>
        <rFont val="Sylfaen"/>
        <family val="1"/>
        <charset val="204"/>
      </rPr>
      <t>98.3</t>
    </r>
  </si>
  <si>
    <r>
      <t xml:space="preserve">ზეთოვანი საღებავი 0.4 </t>
    </r>
    <r>
      <rPr>
        <sz val="10"/>
        <color theme="1"/>
        <rFont val="Calibri"/>
        <family val="2"/>
        <charset val="204"/>
      </rPr>
      <t xml:space="preserve">Χ8 </t>
    </r>
  </si>
  <si>
    <r>
      <t>საღებავის გამხსნელი 0.008</t>
    </r>
    <r>
      <rPr>
        <sz val="10"/>
        <color theme="1"/>
        <rFont val="Arial"/>
        <family val="2"/>
        <charset val="204"/>
      </rPr>
      <t>×</t>
    </r>
    <r>
      <rPr>
        <sz val="10"/>
        <color theme="1"/>
        <rFont val="Sylfaen"/>
        <family val="1"/>
        <charset val="204"/>
      </rPr>
      <t>8.0</t>
    </r>
  </si>
  <si>
    <r>
      <t xml:space="preserve">ზუმფარა            0.009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</t>
    </r>
  </si>
  <si>
    <r>
      <t xml:space="preserve">მდფ-ის ერთფრთიანი    კარის  ფრთის მოწყობა არსებულ ლითონის ჩარჩოებზე,  მაღალი ხარისხის საკეტ-სახელურით და მოწყობილობით    (1.1 </t>
    </r>
    <r>
      <rPr>
        <b/>
        <sz val="10"/>
        <color theme="1"/>
        <rFont val="Calibri"/>
        <family val="2"/>
        <charset val="204"/>
      </rPr>
      <t>Χ</t>
    </r>
    <r>
      <rPr>
        <b/>
        <sz val="10"/>
        <color theme="1"/>
        <rFont val="Sylfaen"/>
        <family val="1"/>
        <charset val="204"/>
      </rPr>
      <t xml:space="preserve"> 2.0)მ - 42.0 ც.</t>
    </r>
  </si>
  <si>
    <r>
      <t xml:space="preserve">მდფ-ის ორფრთიანი შემინული კარის ფრთის მოწყობა, მაღალი ხარისხის  საკეტ-სახელურით და მოწყობილობით   არსებულ ლითონის ჩარჩოებზე  (1.45 </t>
    </r>
    <r>
      <rPr>
        <b/>
        <sz val="10"/>
        <color theme="1"/>
        <rFont val="Arial"/>
        <family val="2"/>
        <charset val="204"/>
      </rPr>
      <t>×</t>
    </r>
    <r>
      <rPr>
        <b/>
        <sz val="10"/>
        <color theme="1"/>
        <rFont val="Sylfaen"/>
        <family val="1"/>
        <charset val="204"/>
      </rPr>
      <t>2.0)მ - 8ც</t>
    </r>
  </si>
  <si>
    <t>მეტალო პლასტმასის  კარის ბლოკების მონტაჟი ახალ სან კვანძებზე (თეთრი)</t>
  </si>
  <si>
    <t>42</t>
  </si>
  <si>
    <t>სულ ჯამი  I სართული</t>
  </si>
  <si>
    <t>სულ   ჯამი 2-3</t>
  </si>
  <si>
    <t>სულ ჯამი  II სართული</t>
  </si>
  <si>
    <t>სულ  ჯამი  3-1</t>
  </si>
  <si>
    <t>სულ   ჯამი  1-4</t>
  </si>
  <si>
    <t>სულ   ჯამი 1-3</t>
  </si>
  <si>
    <t>№ 4    ხუთსართულიანი ფლიგელი</t>
  </si>
  <si>
    <t xml:space="preserve">საერთო სახარჯთაღრიცხვო  ღირებულება   </t>
  </si>
  <si>
    <t xml:space="preserve">  ქ. ზუგდიდის რეფერალური   ჰოსპიტალი  II სართული </t>
  </si>
  <si>
    <t xml:space="preserve">  ქ. ზუგდიდის რეფერალური   ჰოსპიტალი  III სართული </t>
  </si>
  <si>
    <r>
      <t xml:space="preserve">  ქ. ზუგდიდის რეფერალური   ჰოსპიტალი  </t>
    </r>
    <r>
      <rPr>
        <b/>
        <sz val="12"/>
        <color theme="1"/>
        <rFont val="AcadNusx"/>
      </rPr>
      <t>V</t>
    </r>
    <r>
      <rPr>
        <b/>
        <sz val="12"/>
        <color theme="1"/>
        <rFont val="Sylfaen"/>
        <family val="1"/>
        <charset val="204"/>
      </rPr>
      <t xml:space="preserve"> სართული </t>
    </r>
  </si>
  <si>
    <t xml:space="preserve">  ქ. ზუგდიდის რეფერალური   ჰოსპიტალი I სართული  </t>
  </si>
  <si>
    <t xml:space="preserve">გათბობის რადიატორების დემონტაჟი (დაუზიანებლად)0.6*0.6-5ც;  0.7*0.6-5ც;  </t>
  </si>
  <si>
    <t>გათბობის ლითონის მილგაყვანილობის დემონტაჟი</t>
  </si>
  <si>
    <t xml:space="preserve"> არმსტრონგის ჭერის დემონტაჟი</t>
  </si>
  <si>
    <r>
      <t xml:space="preserve">ნესტგამძლე თაბაშირ მუყაოს ფილა  101.36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1.05</t>
    </r>
  </si>
  <si>
    <r>
      <t xml:space="preserve">ფითხი         0.35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231.0</t>
    </r>
  </si>
  <si>
    <r>
      <t xml:space="preserve">ანტიბაქტერიული საღებავი  0.4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231.0</t>
    </r>
  </si>
  <si>
    <t>გრუნტი 0.15×231.0</t>
  </si>
  <si>
    <t>საღებავის გამხსნელი 0.08*231.0</t>
  </si>
  <si>
    <r>
      <t xml:space="preserve">ზუმფარა    0.009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231.0</t>
    </r>
  </si>
  <si>
    <t>სამღებრო ბადე ლენტა  0.4×231.0</t>
  </si>
  <si>
    <t>სამღებრო კუთხოვანა  0.3×231.0</t>
  </si>
  <si>
    <r>
      <t xml:space="preserve">ფითხი         0.35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101.36</t>
    </r>
  </si>
  <si>
    <r>
      <t xml:space="preserve">ანტიბაქტერიული საღებავი  0.39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101.36</t>
    </r>
  </si>
  <si>
    <t>გრუნტი 0.15×101.36</t>
  </si>
  <si>
    <t>საღებავის გამხსნელი 0.08*101.36</t>
  </si>
  <si>
    <r>
      <t xml:space="preserve">ზუმფარა    0.009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101.36</t>
    </r>
  </si>
  <si>
    <t xml:space="preserve"> საერთო  სახარჯთაღრიცხვო  ღირებულება   </t>
  </si>
  <si>
    <t>5. წყალგაყვანილობა კანალიზაცია</t>
  </si>
  <si>
    <t xml:space="preserve">უნიტაზის მონტაჟი არკოს ტიპის კრანით, დრეკადი მილით </t>
  </si>
  <si>
    <t>სარემონტო  სამუშაოების  საორიენტაციო  ხარჯთაღრიცხვა</t>
  </si>
  <si>
    <r>
      <t xml:space="preserve">თვითგამასწორებელი ხსნარი   401.8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5.0</t>
    </r>
  </si>
  <si>
    <r>
      <t xml:space="preserve">ქვიშა                 0.062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133.2</t>
    </r>
  </si>
  <si>
    <r>
      <t xml:space="preserve">ცემენტი  M400       0.0155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133.2</t>
    </r>
  </si>
  <si>
    <r>
      <t>ლამინირებული "დსპ"  (250 მმ * 12 მმ)  1.05</t>
    </r>
    <r>
      <rPr>
        <sz val="10"/>
        <color theme="1"/>
        <rFont val="Arial"/>
        <family val="2"/>
        <charset val="204"/>
      </rPr>
      <t>×34.0</t>
    </r>
  </si>
  <si>
    <t>45</t>
  </si>
  <si>
    <r>
      <t xml:space="preserve">ფითხი         0.35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892.0</t>
    </r>
  </si>
  <si>
    <r>
      <t xml:space="preserve">სილიკონური (რეცხვადი) საღებავი 0.4 </t>
    </r>
    <r>
      <rPr>
        <sz val="10"/>
        <color theme="1"/>
        <rFont val="Calibri"/>
        <family val="2"/>
        <charset val="204"/>
      </rPr>
      <t>Χ 892.0</t>
    </r>
  </si>
  <si>
    <t>გრუნტი 0.15×892.0</t>
  </si>
  <si>
    <t xml:space="preserve">არმსტრონგის  შეკიდული ჭერის მოწყობა </t>
  </si>
  <si>
    <t>7. ელექრტოობა</t>
  </si>
  <si>
    <t>8. სუსტი დენები                                                    სახანძრო შეტყობინება, ვიდემეთვალყურეობის სისტემები</t>
  </si>
  <si>
    <t xml:space="preserve">საერთო   სახარჯთაღრიცხვო  ღირებულება   </t>
  </si>
  <si>
    <t>სულ ჯამი  III სართული</t>
  </si>
  <si>
    <t>№ 5    ხუთსართულიანი ფლიგელი</t>
  </si>
  <si>
    <t xml:space="preserve">  ქ. ზუგდიდის რეფერალური   ჰოსპიტალი    სარემონტო  სამუშაოების  კრებსითი         საორიენტაციო ხარჯთაღრიცხვა  </t>
  </si>
  <si>
    <t>სარემონტო  სამუშაოების საორიენტაციო  ხარჯთაღრიცხვა</t>
  </si>
  <si>
    <t>სარემონტო  სამუშაოების  საორიენტაციო ხარჯთაღრიცხვა</t>
  </si>
  <si>
    <r>
      <t>სარემონტო   ფართი (მ</t>
    </r>
    <r>
      <rPr>
        <b/>
        <sz val="10"/>
        <color theme="1"/>
        <rFont val="Arial"/>
        <family val="2"/>
        <charset val="204"/>
      </rPr>
      <t>²</t>
    </r>
    <r>
      <rPr>
        <b/>
        <sz val="10"/>
        <color theme="1"/>
        <rFont val="Sylfaen"/>
        <family val="1"/>
        <charset val="204"/>
      </rPr>
      <t>)</t>
    </r>
  </si>
  <si>
    <t>ხუთსართულიანი ბლოკი ფლიგელი</t>
  </si>
  <si>
    <t xml:space="preserve">ამორტიზირებული გამწოვი დ=100მმ ვენტილატორების დემონტაჟი სან კვანძებში ჭერში </t>
  </si>
  <si>
    <t>ამორტიზირებული მდფ-ის ერთფრთიანი კარის ფრთის დემონტაჟი  ლითონის ჩარჩოს დაუზიანებლად,  შენობიდან გამოტანა და დასაწყობება (1.1 Χ 2.0)მ- 32.0ც</t>
  </si>
  <si>
    <t>მდფ-ის ერთფრთიანი კარის ბლოკის დემონტაჟი  ,  შენობიდან გამოტანა და დასაწყობება (1.1 Χ 2.1)მ- 16.0ც (პალატებში სადაც ახალი სან კვანძები ეწყობა)</t>
  </si>
  <si>
    <t>კარის ღიობების გაფართოება  კედლის მონგრევა   (პალატებში სადაც ახალი სან კვანძები ეწყობა)  7ცალი</t>
  </si>
  <si>
    <r>
      <t>მ</t>
    </r>
    <r>
      <rPr>
        <sz val="10"/>
        <color theme="1"/>
        <rFont val="Calibri"/>
        <family val="2"/>
        <charset val="204"/>
      </rPr>
      <t>³</t>
    </r>
  </si>
  <si>
    <t>კარის ღიობების გამონგრევა  კედელში (პალატებში სადაც ახალი სან კვანძები ეწყობა)  7ცალი-40სმ სისქის კედელში, 2ც-20სმ-სისქის კედელში</t>
  </si>
  <si>
    <t>ამორტიზირებული პლასტიკატის ჭერის დემონტაჟი სან.კვანძებში</t>
  </si>
  <si>
    <r>
      <t xml:space="preserve">თვითგამასწორებელი ხსნარი   789.1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5.0</t>
    </r>
  </si>
  <si>
    <t>ახალ სან.კვანძებში და არსებულ სან.კვანძებში  ჰიდროიზოლაციის მოწყობა იატაკზე ორკომპონენტიანი ჰიდროსაიზოლაციო ხსნარით   2.88x14+2.996x2+123</t>
  </si>
  <si>
    <t>ახალ სან.კვანძებში და არსებულ სან.კვანძებში  მეტლახის ფილების დაგება იატაკზე საშხაპე ამოშენებული ქვედის მოწყობით</t>
  </si>
  <si>
    <r>
      <t xml:space="preserve">მეთლახის ფილა     169.32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1.05</t>
    </r>
  </si>
  <si>
    <r>
      <t xml:space="preserve">წებოცემენტი       169.32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6</t>
    </r>
  </si>
  <si>
    <r>
      <t xml:space="preserve">ფუგა       169.32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0.04</t>
    </r>
  </si>
  <si>
    <t xml:space="preserve"> (პალატებში სადაც ახალი სან კვანძები ეწყობა 7ცალი) კარის ღიობების დახურვა თაბაშირ მუყაოს ფილებით,  იზოლაციის მოწყობით</t>
  </si>
  <si>
    <r>
      <t>მ</t>
    </r>
    <r>
      <rPr>
        <sz val="10"/>
        <color theme="1"/>
        <rFont val="Calibri"/>
        <family val="2"/>
        <charset val="204"/>
      </rPr>
      <t>²</t>
    </r>
  </si>
  <si>
    <t>კარის ღიობის ფერდილების შეფუთვა თაბაშირ/მუყაოს ფილებით</t>
  </si>
  <si>
    <t xml:space="preserve">თაბ.მუყ. ფილა ჩვეულებრივი  12.5მმ           </t>
  </si>
  <si>
    <t>თ/მ პროფილი და სხვა მასალები 1მ² ტიხარზე</t>
  </si>
  <si>
    <t>საიზოლაციო მასალა  ეკო ბამბა (ან ანალოგიური სხვა ეკოლოგიური მასალა)  1.02*167</t>
  </si>
  <si>
    <t>(პალატებში სადაც ახალი სან კვანძები ეწყობა)  7ცალი გამონგრეული კარის ღიობების გამაგრება მოჩარჩოება კუთხოვანებით 75x75 x6  ( 7ცალი-40სმ სისქის კედელში, 2ც-20სმ-სისქის კედელში)</t>
  </si>
  <si>
    <t>ფოლადის კუთხოვანა   75x75 x6   1.05</t>
  </si>
  <si>
    <t>ელექტროდი</t>
  </si>
  <si>
    <t>ლითონის საჭრელი დისკი დ320</t>
  </si>
  <si>
    <t>ზოლოვანა 40x4</t>
  </si>
  <si>
    <t>თ/მუყაოს ტიხრების მოწყობა ნესტგამძლე  ფილებით ფილებით იზოლაციით (პალატებში სან-კვანძების 16.0 ცალი მოწყობის მიზნით)</t>
  </si>
  <si>
    <r>
      <t>კედლების და მილების შეფუთვა ნესტგამძლე თაბაშირ/მუყაოს ფილებით (საპროექტო სან კვანძებში)  და III სართულზე კამალიზაციისა და წყალგაყვანილობის მილების შეფუთვა 12მ</t>
    </r>
    <r>
      <rPr>
        <b/>
        <sz val="10"/>
        <color theme="1"/>
        <rFont val="Calibri"/>
        <family val="2"/>
        <charset val="204"/>
      </rPr>
      <t>²</t>
    </r>
  </si>
  <si>
    <r>
      <t xml:space="preserve">თაბ.მუყ. ნესტგამძლე    12.5მმ                   (135+196)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1.05       </t>
    </r>
  </si>
  <si>
    <t>თ/მ პროფილი და სხვა მასალები 1მ² შეფუთვაზე</t>
  </si>
  <si>
    <t>საიზოლაციო მასალა  ეკო ბამბა (ან ანალოგიური სხვა ეკოლოგიური მასალა)  1.02*135</t>
  </si>
  <si>
    <r>
      <t>ქვიშა    0.034</t>
    </r>
    <r>
      <rPr>
        <sz val="10"/>
        <color theme="1"/>
        <rFont val="Arial"/>
        <family val="2"/>
        <charset val="204"/>
      </rPr>
      <t>×390.0</t>
    </r>
  </si>
  <si>
    <t>ცემენტი  M400    0.0114   Χ 390.0</t>
  </si>
  <si>
    <r>
      <t xml:space="preserve">კაფელის ფილა          683.4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1.03</t>
    </r>
  </si>
  <si>
    <r>
      <t xml:space="preserve">წებოცემენტი                683.4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5</t>
    </r>
  </si>
  <si>
    <r>
      <t xml:space="preserve">ფუგა                683.4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0.04</t>
    </r>
  </si>
  <si>
    <t>თაბაშირ/მუყაოს ტიხრებისა და კედლების შეფითხვნა, დამუშავება, დაგრუნტვა და შეღებვა სილიკონური (რეცხვადი) საღებავით (ახალი სან.კვანძების ტიხრების გარე მხარე, შევსებული კარის ღიობები და ფერდილები)</t>
  </si>
  <si>
    <r>
      <t xml:space="preserve">ფითხი   0.25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189.0</t>
    </r>
  </si>
  <si>
    <r>
      <t xml:space="preserve">სილიკონური (რეცხვადი) საღებავი 0.4 </t>
    </r>
    <r>
      <rPr>
        <sz val="10"/>
        <color theme="1"/>
        <rFont val="Calibri"/>
        <family val="2"/>
        <charset val="204"/>
      </rPr>
      <t>Χ 189.0</t>
    </r>
  </si>
  <si>
    <t>საღებავის გამხსნელი 0.08*189.0</t>
  </si>
  <si>
    <r>
      <t xml:space="preserve">ზუმფარა     0.009 </t>
    </r>
    <r>
      <rPr>
        <sz val="10"/>
        <color theme="1"/>
        <rFont val="Calibri"/>
        <family val="2"/>
        <charset val="204"/>
      </rPr>
      <t>Χ189.0</t>
    </r>
  </si>
  <si>
    <t>სამღებრო ბადე ლენტა  0.4×189.0</t>
  </si>
  <si>
    <t>სამღებრო კუთხოვანა  0.3×189.0</t>
  </si>
  <si>
    <r>
      <t xml:space="preserve">ზეთოვანი საღებავი 0.4 </t>
    </r>
    <r>
      <rPr>
        <sz val="10"/>
        <color theme="1"/>
        <rFont val="Calibri"/>
        <family val="2"/>
        <charset val="204"/>
      </rPr>
      <t>Χ 82.0</t>
    </r>
  </si>
  <si>
    <r>
      <t>საღებავის გამხსნელი  0.08</t>
    </r>
    <r>
      <rPr>
        <sz val="10"/>
        <color theme="1"/>
        <rFont val="Arial"/>
        <family val="2"/>
        <charset val="204"/>
      </rPr>
      <t>×8</t>
    </r>
    <r>
      <rPr>
        <sz val="10"/>
        <color theme="1"/>
        <rFont val="Sylfaen"/>
        <family val="1"/>
        <charset val="204"/>
      </rPr>
      <t>2.0</t>
    </r>
  </si>
  <si>
    <r>
      <t xml:space="preserve">ზუმფარა     0.009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82.0</t>
    </r>
  </si>
  <si>
    <t>კიბის ჯრედში აივანზე გასასვლელი ლითონის კარის ბლოკების  ძველი საღებავის გაფხეკა, დამუშავება და შეღებვა  ზეთოვანი საღებავით (0.8x2.3)მ-1ც</t>
  </si>
  <si>
    <r>
      <t xml:space="preserve">ზეთოვანი საღებავი 0.4 </t>
    </r>
    <r>
      <rPr>
        <sz val="10"/>
        <color theme="1"/>
        <rFont val="Calibri"/>
        <family val="2"/>
        <charset val="204"/>
      </rPr>
      <t xml:space="preserve">Χ4.42 </t>
    </r>
  </si>
  <si>
    <r>
      <t>საღებავის გამხსნელი 0.008</t>
    </r>
    <r>
      <rPr>
        <sz val="10"/>
        <color theme="1"/>
        <rFont val="Arial"/>
        <family val="2"/>
        <charset val="204"/>
      </rPr>
      <t>×4</t>
    </r>
    <r>
      <rPr>
        <sz val="10"/>
        <color theme="1"/>
        <rFont val="Sylfaen"/>
        <family val="1"/>
        <charset val="204"/>
      </rPr>
      <t>.42</t>
    </r>
  </si>
  <si>
    <r>
      <t xml:space="preserve">ზუმფარა            0.009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4.42</t>
    </r>
  </si>
  <si>
    <t>არმსტრონგის ახალი შეკიდული ჭერის მოწყობა</t>
  </si>
  <si>
    <t>ახალ სან.კვანძებში და არსებულ სან.კვანძებში  ნესტგამძლე არმსტრონგის  შეკიდული ჭერის მოწყობა 2.88x14+2.996x2+123</t>
  </si>
  <si>
    <r>
      <t xml:space="preserve">მდფ-ის ერთფრთიანი    კარის  ფრთის მოწყობა არსებულ ლითონის ჩარჩოებზე  საკეტ-სახელურით და მოწყობილობით    (1.1 </t>
    </r>
    <r>
      <rPr>
        <b/>
        <sz val="10"/>
        <color theme="1"/>
        <rFont val="Calibri"/>
        <family val="2"/>
        <charset val="204"/>
      </rPr>
      <t>Χ</t>
    </r>
    <r>
      <rPr>
        <b/>
        <sz val="10"/>
        <color theme="1"/>
        <rFont val="Sylfaen"/>
        <family val="1"/>
        <charset val="204"/>
      </rPr>
      <t xml:space="preserve"> 2.0)მ - 32.0 ც.</t>
    </r>
  </si>
  <si>
    <r>
      <t xml:space="preserve">მდფ-ის ორფრთიანი შემინული კარის ფრთის მოწყობა საკეტ-სახელურით და მოწყობილობით   არსებულ ლითონის ჩარჩოებზე  (1.45 </t>
    </r>
    <r>
      <rPr>
        <b/>
        <sz val="10"/>
        <color theme="1"/>
        <rFont val="Arial"/>
        <family val="2"/>
        <charset val="204"/>
      </rPr>
      <t>×</t>
    </r>
    <r>
      <rPr>
        <b/>
        <sz val="10"/>
        <color theme="1"/>
        <rFont val="Sylfaen"/>
        <family val="1"/>
        <charset val="204"/>
      </rPr>
      <t>2.0)მ - 7ც</t>
    </r>
  </si>
  <si>
    <r>
      <t xml:space="preserve">მეტალოპლასტმასის კარის  ფრთის მოწყობა არსებულ ლითონის ჩარჩოებზე  საკეტ-სახელურით და მოწყობილობით    (1.1 </t>
    </r>
    <r>
      <rPr>
        <b/>
        <sz val="10"/>
        <color theme="1"/>
        <rFont val="Calibri"/>
        <family val="2"/>
        <charset val="204"/>
      </rPr>
      <t>Χ</t>
    </r>
    <r>
      <rPr>
        <b/>
        <sz val="10"/>
        <color theme="1"/>
        <rFont val="Sylfaen"/>
        <family val="1"/>
        <charset val="204"/>
      </rPr>
      <t xml:space="preserve"> 2.0)მ - 8.0 ც.</t>
    </r>
  </si>
  <si>
    <t>მდფ-ის   ორფრთიანი კარის ბლოკების მონტაჟი ახალ ღიობებში (1.2 ×2.15)მ - 16ც)   (პალატებში სადაც ახალი სან კვანძები ეწყობა)</t>
  </si>
  <si>
    <r>
      <t>მეტალო პლასტმასის  კარის ბლოკების მონტაჟი ახალ, საპროექტო სან კვანძებზე (თეთრი) (0.85</t>
    </r>
    <r>
      <rPr>
        <b/>
        <sz val="10"/>
        <color theme="1"/>
        <rFont val="Arial"/>
        <family val="2"/>
        <charset val="204"/>
      </rPr>
      <t>×</t>
    </r>
    <r>
      <rPr>
        <b/>
        <sz val="10"/>
        <color theme="1"/>
        <rFont val="Sylfaen"/>
        <family val="1"/>
        <charset val="204"/>
      </rPr>
      <t>2.1)მ - 15ც; (1.0×2.1)-1ცალი</t>
    </r>
  </si>
  <si>
    <t>შ.შ.მ. პირების სარგებლობისათვის ადაპტირებული ხელსაბანი ნიჟარის მონტაჟი, არკოს კრანებით,  შემრევთ, დრეკადი მილებით, სიფონით და სპეციალური მოწყობილობებით</t>
  </si>
  <si>
    <t>შ.შ.მ. პირების სარგებლობისათვის ადაპტირებული უნიტაზი არკოს ტიპის კრანი, დრეკადი მილი  და სპეციალური მოწყობილობებით</t>
  </si>
  <si>
    <t xml:space="preserve">კანალიზაციის დ 50 მმ. მილები,  </t>
  </si>
  <si>
    <t>კანალიზაციის დ 50 მმ. მილების  ფასონური დელატები</t>
  </si>
  <si>
    <t>(გადახურვის რკ/ბეტონის ფილაში  დ=110მმ ნახვრეტების მოწყობა)</t>
  </si>
  <si>
    <t>კანალიზაციის დ 100 მმ. მილებით  9ცალი დგარის მოწყობა და დაერთება III სართულზე არსებულ კანალიზაციის დგარებზე (მათ შორის 2ც დგარის მოსაწყობად III სართულის შეკიდულ ჭერში მილის  გატარებით)  ახალი სან.კვანძების დაერთება დგარებზე</t>
  </si>
  <si>
    <t>კანალიზაციის დ 100 მმ. მილების  ფასონური დელატები</t>
  </si>
  <si>
    <t>წყალგაყვანილობის დ 25 მმ. (ცივი და ცხელი წყლის მილების მონტაჟი) დგარების მიწყობით და III სართულის შეკიდულ ჭერში გატარებით (დ25მმ ნახვრეტების მოწყობით)და დგარებზე დაერთებით)</t>
  </si>
  <si>
    <t xml:space="preserve">წყალგაყვანილობის დ 20 მმ. (ცივი და ცხელი წყლის მილების მონტაჟი) </t>
  </si>
  <si>
    <t>დ 25 მმ. ფასონური დელატები</t>
  </si>
  <si>
    <t>დ 20 მმ. ფასონური დელატები</t>
  </si>
  <si>
    <r>
      <t>ახალი არმსტრონგის LED სანათი (60</t>
    </r>
    <r>
      <rPr>
        <sz val="10"/>
        <color theme="1"/>
        <rFont val="Arial"/>
        <family val="2"/>
        <charset val="204"/>
      </rPr>
      <t>×</t>
    </r>
    <r>
      <rPr>
        <sz val="10"/>
        <color theme="1"/>
        <rFont val="Sylfaen"/>
        <family val="1"/>
        <charset val="204"/>
      </rPr>
      <t>60)სმ   36 ვტ მონტაჟი</t>
    </r>
  </si>
  <si>
    <t>ახალი მრგვალი  ჭერში ჩასასმელი LED სანათი  დიოდური IP 33, სანკვანძებისათვის</t>
  </si>
  <si>
    <t xml:space="preserve">III სართული                          </t>
  </si>
  <si>
    <r>
      <t>I</t>
    </r>
    <r>
      <rPr>
        <b/>
        <i/>
        <sz val="10"/>
        <color theme="1"/>
        <rFont val="AcadNusx"/>
      </rPr>
      <t>V</t>
    </r>
    <r>
      <rPr>
        <b/>
        <i/>
        <sz val="10"/>
        <color theme="1"/>
        <rFont val="Sylfaen"/>
        <family val="1"/>
        <charset val="204"/>
      </rPr>
      <t xml:space="preserve"> სართული</t>
    </r>
  </si>
  <si>
    <r>
      <rPr>
        <b/>
        <i/>
        <sz val="10"/>
        <color theme="1"/>
        <rFont val="AcadNusx"/>
      </rPr>
      <t>V</t>
    </r>
    <r>
      <rPr>
        <b/>
        <i/>
        <sz val="10"/>
        <color theme="1"/>
        <rFont val="Sylfaen"/>
        <family val="1"/>
        <charset val="204"/>
      </rPr>
      <t xml:space="preserve"> სართული</t>
    </r>
  </si>
  <si>
    <r>
      <t xml:space="preserve">  ქ. ზუგდიდის რეფერალური ჰოსპიტალი  I</t>
    </r>
    <r>
      <rPr>
        <b/>
        <sz val="12"/>
        <color theme="1"/>
        <rFont val="AcadNusx"/>
      </rPr>
      <t>V</t>
    </r>
    <r>
      <rPr>
        <b/>
        <sz val="12"/>
        <color theme="1"/>
        <rFont val="Sylfaen"/>
        <family val="1"/>
        <charset val="204"/>
      </rPr>
      <t xml:space="preserve"> სართული </t>
    </r>
  </si>
  <si>
    <t xml:space="preserve">კედლებისა და ტიხრების შეფითხვნა, დამუშავება, დაგრუნტვა და  შეღებვა სილიკონური რეცხვადი საღებავით </t>
  </si>
  <si>
    <t>შშმპ სველი წერტილი</t>
  </si>
  <si>
    <t>შშმპ უნიტაზის მონტაჟი</t>
  </si>
  <si>
    <t>აქსესუარები (საყრდენი)</t>
  </si>
  <si>
    <t>დავამატეთ</t>
  </si>
  <si>
    <t>აქსესუარები (ონკანი)</t>
  </si>
  <si>
    <r>
      <t xml:space="preserve">მდფ-ის ორფრთიანი კარის ბლოკების მონტაჟი საკეტ-სახელურით და მოწყობილობით     (1.10 </t>
    </r>
    <r>
      <rPr>
        <b/>
        <sz val="10"/>
        <color theme="1"/>
        <rFont val="Arial"/>
        <family val="2"/>
        <charset val="204"/>
      </rPr>
      <t>×</t>
    </r>
    <r>
      <rPr>
        <b/>
        <sz val="10"/>
        <color theme="1"/>
        <rFont val="Sylfaen"/>
        <family val="1"/>
        <charset val="204"/>
      </rPr>
      <t>2.15)მ - 6ც</t>
    </r>
  </si>
  <si>
    <t>თაბაშირ/მუყაოს ტიხრებისა და კედლების შეფითხვნა, დამუშავება, დაგრუნტვა და შეღებვა სილიკონური (რეცხვადი) საღებავით</t>
  </si>
  <si>
    <t>კედლებზე ბამპერების ღებვა</t>
  </si>
  <si>
    <t>კედლების დამუშავება შეფთხვნა, დაგრუნტვა და შეღებვა სილიკონური (რეცხვადი)  საღებავით</t>
  </si>
  <si>
    <t xml:space="preserve">კედლების საღებავის შეფითხვნა, დამუშავება, დაგრუნტვა და  შეღებვა სილიკონური რეცხვადი საღებავით </t>
  </si>
  <si>
    <t>კედლებისა და ტიხრების შეღებვა ანტიბაქტერიული საღებავით საოპერაციო ბლოკებში</t>
  </si>
  <si>
    <t>ნესტგამძლე თაბაშირ მუყაოს ფილებით ჭერის მოწყობა და წინასაოპერაციოებში</t>
  </si>
  <si>
    <t>ჭერის შეღებვა ანტიბაქტერიული საღებავით საოპერაციო ბლოკებში</t>
  </si>
  <si>
    <t>იატაკზე კერამოგრანიტის ფილების აყრა 7.0 სმ სიმაღლის პლინტუსების ჩათვლით ( დათვალიერდეს სადემონტაჟო ლოკაცია )</t>
  </si>
  <si>
    <t>5 სმ სისქის ქვიშა-ცემენტის მჭიმის აყრა ( საჭიროების შემთხვევაში )</t>
  </si>
  <si>
    <t>კედლებზე კაფელის ფილების ჩამოყრა 4სმ სისქის ნალესის ჩათვლით (ხელსაბანების ფართუკები, სან.კვანძებში და სამზარეულოში კედლებზე)( საჭიროების შემთხვევაში )</t>
  </si>
  <si>
    <t>იატაკზე კერამო გრანიტის ფილების მონტაჟი 60X60 ზე ( ფერი შეთანხმდეს დამკვეთთან )</t>
  </si>
  <si>
    <t>კერამო გრანიტი 60X60</t>
  </si>
  <si>
    <t xml:space="preserve">წებოცემენტი       </t>
  </si>
  <si>
    <t xml:space="preserve">ფუგა       </t>
  </si>
  <si>
    <t>კედლების ლესვა ქვიშა-ცემენტის ხსნარითარსებულ სან.კვანძებში და სამზარეულოში (სადაც ჩამოიყარა კაფელთან ერთად) (საჭიროების შემთხვევაშინ)</t>
  </si>
  <si>
    <t>ქვიშა-ცემენტის მჭიმის მოწყობა იატაკებზე სისქე 5სმ მარკით M100 (საჭიროების შემთხვევაში)</t>
  </si>
  <si>
    <t>კადლების ლესვა ქვიშა-ცემენტის ხსნარით სისქე 3.0სმ (საჭიროების შემთხვევაში )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</si>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</sst>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0"/>
      <name val="Sylfaen"/>
      <family val="1"/>
      <charset val="204"/>
    </font>
    <font>
      <sz val="1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2"/>
      <color theme="1"/>
      <name val="AcadNusx"/>
    </font>
    <font>
      <b/>
      <sz val="11"/>
      <name val="Sylfaen"/>
      <family val="1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Sylfaen"/>
      <family val="1"/>
      <charset val="204"/>
    </font>
    <font>
      <sz val="10"/>
      <color rgb="FFFF0000"/>
      <name val="Sylfaen"/>
      <family val="1"/>
      <charset val="204"/>
    </font>
    <font>
      <b/>
      <sz val="10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Sylfaen"/>
      <family val="1"/>
      <charset val="204"/>
    </font>
    <font>
      <sz val="12"/>
      <color theme="1"/>
      <name val="Sylfaen"/>
      <family val="1"/>
      <charset val="204"/>
    </font>
    <font>
      <b/>
      <i/>
      <sz val="10"/>
      <color theme="1"/>
      <name val="Sylfaen"/>
      <family val="1"/>
      <charset val="204"/>
    </font>
    <font>
      <sz val="10"/>
      <color theme="1"/>
      <name val="AcadNusx"/>
    </font>
    <font>
      <b/>
      <sz val="10"/>
      <name val="Sylfaen"/>
      <family val="1"/>
    </font>
    <font>
      <sz val="8"/>
      <name val="Sylfaen"/>
      <family val="1"/>
      <charset val="204"/>
    </font>
    <font>
      <sz val="8"/>
      <color theme="1"/>
      <name val="Sylfaen"/>
      <family val="1"/>
      <charset val="204"/>
    </font>
    <font>
      <sz val="11"/>
      <color rgb="FFFF0000"/>
      <name val="Sylfaen"/>
      <family val="1"/>
      <charset val="204"/>
    </font>
    <font>
      <b/>
      <sz val="10"/>
      <color rgb="FFFF0000"/>
      <name val="Sylfaen"/>
      <family val="1"/>
      <charset val="204"/>
    </font>
    <font>
      <b/>
      <i/>
      <sz val="10"/>
      <color theme="1"/>
      <name val="AcadNusx"/>
    </font>
    <font>
      <b/>
      <sz val="11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2" tint="-9.9978637043366805E-2"/>
      </right>
      <top style="thin">
        <color theme="0" tint="-0.14999847407452621"/>
      </top>
      <bottom style="thin">
        <color theme="2" tint="-9.9978637043366805E-2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</cellStyleXfs>
  <cellXfs count="414">
    <xf numFmtId="0" fontId="0" fillId="0" borderId="0" xfId="0"/>
    <xf numFmtId="0" fontId="3" fillId="0" borderId="0" xfId="0" applyFont="1"/>
    <xf numFmtId="0" fontId="7" fillId="0" borderId="6" xfId="0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2" fontId="7" fillId="3" borderId="5" xfId="0" applyNumberFormat="1" applyFont="1" applyFill="1" applyBorder="1" applyAlignment="1">
      <alignment horizontal="center" vertical="center" wrapText="1"/>
    </xf>
    <xf numFmtId="2" fontId="7" fillId="3" borderId="7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vertical="center" wrapText="1"/>
    </xf>
    <xf numFmtId="2" fontId="7" fillId="0" borderId="3" xfId="0" applyNumberFormat="1" applyFont="1" applyBorder="1" applyAlignment="1">
      <alignment horizontal="center" vertical="center" wrapText="1"/>
    </xf>
    <xf numFmtId="49" fontId="5" fillId="0" borderId="6" xfId="2" applyNumberFormat="1" applyFont="1" applyBorder="1" applyAlignment="1">
      <alignment horizontal="center" vertical="center" wrapText="1"/>
    </xf>
    <xf numFmtId="2" fontId="5" fillId="3" borderId="6" xfId="1" applyNumberFormat="1" applyFont="1" applyFill="1" applyBorder="1" applyAlignment="1" applyProtection="1">
      <alignment horizontal="center" vertical="center" wrapText="1"/>
    </xf>
    <xf numFmtId="49" fontId="7" fillId="0" borderId="6" xfId="0" applyNumberFormat="1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2" fontId="13" fillId="3" borderId="6" xfId="0" applyNumberFormat="1" applyFont="1" applyFill="1" applyBorder="1" applyAlignment="1">
      <alignment horizontal="center" vertical="center" wrapText="1"/>
    </xf>
    <xf numFmtId="2" fontId="13" fillId="3" borderId="5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0" fontId="3" fillId="3" borderId="0" xfId="0" applyFont="1" applyFill="1"/>
    <xf numFmtId="49" fontId="7" fillId="3" borderId="6" xfId="0" applyNumberFormat="1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3" fillId="0" borderId="6" xfId="0" applyFont="1" applyBorder="1" applyAlignment="1">
      <alignment wrapText="1"/>
    </xf>
    <xf numFmtId="49" fontId="7" fillId="0" borderId="6" xfId="0" applyNumberFormat="1" applyFont="1" applyBorder="1" applyAlignment="1">
      <alignment wrapText="1"/>
    </xf>
    <xf numFmtId="9" fontId="5" fillId="0" borderId="6" xfId="0" applyNumberFormat="1" applyFont="1" applyBorder="1" applyAlignment="1">
      <alignment horizontal="center" wrapText="1"/>
    </xf>
    <xf numFmtId="2" fontId="7" fillId="0" borderId="6" xfId="0" applyNumberFormat="1" applyFont="1" applyBorder="1" applyAlignment="1">
      <alignment wrapText="1"/>
    </xf>
    <xf numFmtId="4" fontId="7" fillId="0" borderId="6" xfId="0" applyNumberFormat="1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vertical="center" wrapText="1"/>
    </xf>
    <xf numFmtId="9" fontId="5" fillId="3" borderId="6" xfId="0" applyNumberFormat="1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3" fillId="4" borderId="6" xfId="0" applyFont="1" applyFill="1" applyBorder="1" applyAlignment="1">
      <alignment wrapText="1"/>
    </xf>
    <xf numFmtId="0" fontId="4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2" fontId="3" fillId="4" borderId="6" xfId="0" applyNumberFormat="1" applyFont="1" applyFill="1" applyBorder="1" applyAlignment="1">
      <alignment vertical="center" wrapText="1"/>
    </xf>
    <xf numFmtId="0" fontId="7" fillId="5" borderId="6" xfId="0" applyFont="1" applyFill="1" applyBorder="1" applyAlignment="1">
      <alignment horizontal="center" vertical="center" wrapText="1"/>
    </xf>
    <xf numFmtId="49" fontId="4" fillId="5" borderId="0" xfId="0" applyNumberFormat="1" applyFont="1" applyFill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2" fontId="7" fillId="5" borderId="5" xfId="0" applyNumberFormat="1" applyFont="1" applyFill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2" fontId="7" fillId="5" borderId="6" xfId="0" applyNumberFormat="1" applyFont="1" applyFill="1" applyBorder="1" applyAlignment="1">
      <alignment horizontal="center" vertical="center" wrapText="1"/>
    </xf>
    <xf numFmtId="49" fontId="5" fillId="5" borderId="8" xfId="2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top" wrapText="1"/>
    </xf>
    <xf numFmtId="49" fontId="4" fillId="5" borderId="6" xfId="0" applyNumberFormat="1" applyFont="1" applyFill="1" applyBorder="1" applyAlignment="1">
      <alignment horizontal="center" vertical="center" wrapText="1"/>
    </xf>
    <xf numFmtId="49" fontId="3" fillId="5" borderId="6" xfId="0" applyNumberFormat="1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2" fontId="3" fillId="5" borderId="6" xfId="0" applyNumberFormat="1" applyFont="1" applyFill="1" applyBorder="1" applyAlignment="1">
      <alignment horizontal="center" vertical="center" wrapText="1"/>
    </xf>
    <xf numFmtId="49" fontId="9" fillId="5" borderId="6" xfId="2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2" fontId="4" fillId="5" borderId="5" xfId="0" applyNumberFormat="1" applyFont="1" applyFill="1" applyBorder="1" applyAlignment="1">
      <alignment horizontal="center" vertical="center" wrapText="1"/>
    </xf>
    <xf numFmtId="2" fontId="5" fillId="0" borderId="6" xfId="1" applyNumberFormat="1" applyFont="1" applyFill="1" applyBorder="1" applyAlignment="1" applyProtection="1">
      <alignment horizontal="center" vertical="center" wrapText="1"/>
    </xf>
    <xf numFmtId="49" fontId="17" fillId="5" borderId="6" xfId="2" applyNumberFormat="1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2" fontId="13" fillId="5" borderId="5" xfId="0" applyNumberFormat="1" applyFont="1" applyFill="1" applyBorder="1" applyAlignment="1">
      <alignment horizontal="center" vertical="center" wrapText="1"/>
    </xf>
    <xf numFmtId="49" fontId="6" fillId="6" borderId="5" xfId="2" applyNumberFormat="1" applyFont="1" applyFill="1" applyBorder="1" applyAlignment="1">
      <alignment horizontal="center" vertical="top" wrapText="1"/>
    </xf>
    <xf numFmtId="49" fontId="13" fillId="6" borderId="1" xfId="0" applyNumberFormat="1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2" fontId="7" fillId="6" borderId="5" xfId="0" applyNumberFormat="1" applyFont="1" applyFill="1" applyBorder="1" applyAlignment="1">
      <alignment horizontal="center" vertical="center" wrapText="1"/>
    </xf>
    <xf numFmtId="4" fontId="13" fillId="6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/>
    <xf numFmtId="49" fontId="7" fillId="0" borderId="3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wrapText="1"/>
    </xf>
    <xf numFmtId="2" fontId="7" fillId="5" borderId="6" xfId="0" applyNumberFormat="1" applyFont="1" applyFill="1" applyBorder="1" applyAlignment="1">
      <alignment horizontal="center" wrapText="1"/>
    </xf>
    <xf numFmtId="49" fontId="7" fillId="0" borderId="6" xfId="0" applyNumberFormat="1" applyFont="1" applyBorder="1" applyAlignment="1">
      <alignment horizontal="left" vertical="center"/>
    </xf>
    <xf numFmtId="0" fontId="2" fillId="7" borderId="6" xfId="0" applyFont="1" applyFill="1" applyBorder="1" applyAlignment="1">
      <alignment horizontal="center" vertical="center"/>
    </xf>
    <xf numFmtId="2" fontId="3" fillId="0" borderId="0" xfId="0" applyNumberFormat="1" applyFont="1"/>
    <xf numFmtId="0" fontId="3" fillId="0" borderId="0" xfId="0" applyFont="1" applyAlignment="1">
      <alignment vertical="center"/>
    </xf>
    <xf numFmtId="0" fontId="7" fillId="0" borderId="6" xfId="0" applyFont="1" applyBorder="1" applyAlignment="1">
      <alignment horizontal="left" vertical="center"/>
    </xf>
    <xf numFmtId="49" fontId="13" fillId="3" borderId="1" xfId="0" applyNumberFormat="1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4" fontId="13" fillId="3" borderId="5" xfId="0" applyNumberFormat="1" applyFont="1" applyFill="1" applyBorder="1" applyAlignment="1">
      <alignment horizontal="center" vertical="center" wrapText="1"/>
    </xf>
    <xf numFmtId="49" fontId="6" fillId="3" borderId="5" xfId="2" applyNumberFormat="1" applyFont="1" applyFill="1" applyBorder="1" applyAlignment="1">
      <alignment horizontal="center" vertical="top" wrapText="1"/>
    </xf>
    <xf numFmtId="2" fontId="7" fillId="5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 wrapText="1"/>
    </xf>
    <xf numFmtId="49" fontId="13" fillId="0" borderId="6" xfId="0" applyNumberFormat="1" applyFont="1" applyBorder="1" applyAlignment="1">
      <alignment horizontal="left" vertical="top" wrapText="1"/>
    </xf>
    <xf numFmtId="49" fontId="7" fillId="0" borderId="6" xfId="0" applyNumberFormat="1" applyFont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wrapText="1"/>
    </xf>
    <xf numFmtId="2" fontId="4" fillId="0" borderId="6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center" vertical="center" wrapText="1"/>
    </xf>
    <xf numFmtId="2" fontId="22" fillId="0" borderId="6" xfId="0" applyNumberFormat="1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" fontId="23" fillId="0" borderId="6" xfId="0" applyNumberFormat="1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4" fontId="13" fillId="3" borderId="6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Border="1"/>
    <xf numFmtId="0" fontId="3" fillId="3" borderId="0" xfId="0" applyFont="1" applyFill="1" applyAlignment="1">
      <alignment wrapText="1"/>
    </xf>
    <xf numFmtId="0" fontId="4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2" fontId="3" fillId="3" borderId="2" xfId="0" applyNumberFormat="1" applyFont="1" applyFill="1" applyBorder="1" applyAlignment="1">
      <alignment vertical="center" wrapText="1"/>
    </xf>
    <xf numFmtId="0" fontId="3" fillId="7" borderId="6" xfId="0" applyFont="1" applyFill="1" applyBorder="1" applyAlignment="1">
      <alignment vertical="center"/>
    </xf>
    <xf numFmtId="2" fontId="3" fillId="7" borderId="6" xfId="0" applyNumberFormat="1" applyFont="1" applyFill="1" applyBorder="1" applyAlignment="1">
      <alignment vertical="center"/>
    </xf>
    <xf numFmtId="4" fontId="4" fillId="7" borderId="6" xfId="0" applyNumberFormat="1" applyFont="1" applyFill="1" applyBorder="1" applyAlignment="1">
      <alignment vertical="center"/>
    </xf>
    <xf numFmtId="49" fontId="5" fillId="0" borderId="6" xfId="0" applyNumberFormat="1" applyFont="1" applyBorder="1" applyAlignment="1">
      <alignment horizontal="center" vertical="center" wrapText="1"/>
    </xf>
    <xf numFmtId="0" fontId="18" fillId="7" borderId="6" xfId="0" applyFont="1" applyFill="1" applyBorder="1" applyAlignment="1">
      <alignment vertical="center"/>
    </xf>
    <xf numFmtId="2" fontId="18" fillId="7" borderId="6" xfId="0" applyNumberFormat="1" applyFont="1" applyFill="1" applyBorder="1" applyAlignment="1">
      <alignment vertical="center"/>
    </xf>
    <xf numFmtId="4" fontId="2" fillId="7" borderId="6" xfId="0" applyNumberFormat="1" applyFont="1" applyFill="1" applyBorder="1" applyAlignment="1">
      <alignment vertical="center"/>
    </xf>
    <xf numFmtId="0" fontId="18" fillId="7" borderId="6" xfId="0" applyFont="1" applyFill="1" applyBorder="1" applyAlignment="1">
      <alignment wrapText="1"/>
    </xf>
    <xf numFmtId="0" fontId="2" fillId="7" borderId="6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vertical="center" wrapText="1"/>
    </xf>
    <xf numFmtId="2" fontId="18" fillId="7" borderId="6" xfId="0" applyNumberFormat="1" applyFont="1" applyFill="1" applyBorder="1" applyAlignment="1">
      <alignment vertical="center" wrapText="1"/>
    </xf>
    <xf numFmtId="4" fontId="2" fillId="7" borderId="6" xfId="0" applyNumberFormat="1" applyFont="1" applyFill="1" applyBorder="1" applyAlignment="1">
      <alignment horizontal="center" vertical="center" wrapText="1"/>
    </xf>
    <xf numFmtId="49" fontId="13" fillId="3" borderId="6" xfId="0" applyNumberFormat="1" applyFont="1" applyFill="1" applyBorder="1" applyAlignment="1">
      <alignment horizontal="left" vertical="center" wrapText="1"/>
    </xf>
    <xf numFmtId="0" fontId="3" fillId="3" borderId="6" xfId="0" applyFont="1" applyFill="1" applyBorder="1"/>
    <xf numFmtId="2" fontId="7" fillId="3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17" fillId="3" borderId="6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4" fontId="7" fillId="3" borderId="5" xfId="0" applyNumberFormat="1" applyFont="1" applyFill="1" applyBorder="1" applyAlignment="1">
      <alignment horizontal="center" vertical="center" wrapText="1"/>
    </xf>
    <xf numFmtId="4" fontId="13" fillId="3" borderId="7" xfId="0" applyNumberFormat="1" applyFont="1" applyFill="1" applyBorder="1" applyAlignment="1">
      <alignment horizontal="center" vertical="center" wrapText="1"/>
    </xf>
    <xf numFmtId="4" fontId="7" fillId="6" borderId="5" xfId="0" applyNumberFormat="1" applyFont="1" applyFill="1" applyBorder="1" applyAlignment="1">
      <alignment horizontal="center" vertical="center" wrapText="1"/>
    </xf>
    <xf numFmtId="4" fontId="13" fillId="6" borderId="7" xfId="0" applyNumberFormat="1" applyFont="1" applyFill="1" applyBorder="1" applyAlignment="1">
      <alignment horizontal="center" vertical="center" wrapText="1"/>
    </xf>
    <xf numFmtId="0" fontId="3" fillId="0" borderId="10" xfId="0" applyFont="1" applyBorder="1"/>
    <xf numFmtId="0" fontId="3" fillId="0" borderId="3" xfId="0" applyFont="1" applyBorder="1" applyAlignment="1">
      <alignment vertical="center" wrapText="1"/>
    </xf>
    <xf numFmtId="0" fontId="3" fillId="3" borderId="10" xfId="0" applyFont="1" applyFill="1" applyBorder="1"/>
    <xf numFmtId="2" fontId="7" fillId="0" borderId="5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top" wrapText="1"/>
    </xf>
    <xf numFmtId="0" fontId="3" fillId="8" borderId="0" xfId="0" applyFont="1" applyFill="1"/>
    <xf numFmtId="0" fontId="13" fillId="0" borderId="6" xfId="0" applyFont="1" applyBorder="1" applyAlignment="1">
      <alignment horizontal="center" vertical="center"/>
    </xf>
    <xf numFmtId="2" fontId="5" fillId="3" borderId="6" xfId="3" applyNumberFormat="1" applyFont="1" applyFill="1" applyBorder="1" applyAlignment="1" applyProtection="1">
      <alignment horizontal="center" vertical="center" wrapText="1"/>
    </xf>
    <xf numFmtId="2" fontId="13" fillId="2" borderId="6" xfId="0" applyNumberFormat="1" applyFont="1" applyFill="1" applyBorder="1" applyAlignment="1">
      <alignment horizontal="center" vertical="center" wrapText="1"/>
    </xf>
    <xf numFmtId="49" fontId="13" fillId="3" borderId="6" xfId="0" applyNumberFormat="1" applyFont="1" applyFill="1" applyBorder="1" applyAlignment="1">
      <alignment vertical="center" wrapText="1"/>
    </xf>
    <xf numFmtId="2" fontId="21" fillId="2" borderId="6" xfId="3" applyNumberFormat="1" applyFont="1" applyFill="1" applyBorder="1" applyAlignment="1" applyProtection="1">
      <alignment horizontal="center" vertical="center" wrapText="1"/>
    </xf>
    <xf numFmtId="49" fontId="7" fillId="3" borderId="6" xfId="0" applyNumberFormat="1" applyFont="1" applyFill="1" applyBorder="1" applyAlignment="1">
      <alignment horizontal="left" vertical="top" wrapText="1"/>
    </xf>
    <xf numFmtId="2" fontId="13" fillId="2" borderId="5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wrapText="1"/>
    </xf>
    <xf numFmtId="2" fontId="4" fillId="2" borderId="6" xfId="0" applyNumberFormat="1" applyFont="1" applyFill="1" applyBorder="1" applyAlignment="1">
      <alignment horizontal="center" vertical="center"/>
    </xf>
    <xf numFmtId="2" fontId="21" fillId="2" borderId="5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9" fillId="0" borderId="6" xfId="0" applyFont="1" applyBorder="1" applyAlignment="1">
      <alignment horizontal="center" vertical="center"/>
    </xf>
    <xf numFmtId="43" fontId="7" fillId="0" borderId="0" xfId="1" applyFont="1"/>
    <xf numFmtId="43" fontId="13" fillId="0" borderId="6" xfId="1" applyFont="1" applyBorder="1" applyAlignment="1">
      <alignment horizontal="center" vertical="center" wrapText="1"/>
    </xf>
    <xf numFmtId="43" fontId="19" fillId="0" borderId="6" xfId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5" fillId="0" borderId="2" xfId="2" applyNumberFormat="1" applyFont="1" applyBorder="1" applyAlignment="1">
      <alignment horizontal="center" vertical="center" wrapText="1"/>
    </xf>
    <xf numFmtId="49" fontId="5" fillId="0" borderId="5" xfId="2" applyNumberFormat="1" applyFont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right" vertical="center"/>
    </xf>
    <xf numFmtId="43" fontId="3" fillId="0" borderId="0" xfId="1" applyFont="1"/>
    <xf numFmtId="43" fontId="3" fillId="3" borderId="6" xfId="1" applyFont="1" applyFill="1" applyBorder="1"/>
    <xf numFmtId="43" fontId="4" fillId="3" borderId="2" xfId="1" applyFont="1" applyFill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7" fillId="3" borderId="5" xfId="1" applyFont="1" applyFill="1" applyBorder="1" applyAlignment="1">
      <alignment horizontal="center" vertical="center" wrapText="1"/>
    </xf>
    <xf numFmtId="43" fontId="7" fillId="3" borderId="6" xfId="1" applyFont="1" applyFill="1" applyBorder="1" applyAlignment="1">
      <alignment horizontal="center" vertical="center" wrapText="1"/>
    </xf>
    <xf numFmtId="43" fontId="5" fillId="0" borderId="6" xfId="1" applyFont="1" applyFill="1" applyBorder="1" applyAlignment="1" applyProtection="1">
      <alignment horizontal="center" vertical="center" wrapText="1"/>
    </xf>
    <xf numFmtId="43" fontId="13" fillId="3" borderId="5" xfId="1" applyFont="1" applyFill="1" applyBorder="1" applyAlignment="1">
      <alignment horizontal="center" vertical="center" wrapText="1"/>
    </xf>
    <xf numFmtId="43" fontId="7" fillId="0" borderId="6" xfId="1" applyFont="1" applyBorder="1" applyAlignment="1">
      <alignment horizontal="center" wrapText="1"/>
    </xf>
    <xf numFmtId="43" fontId="4" fillId="4" borderId="6" xfId="1" applyFont="1" applyFill="1" applyBorder="1" applyAlignment="1">
      <alignment horizontal="center" vertical="center" wrapText="1"/>
    </xf>
    <xf numFmtId="43" fontId="3" fillId="0" borderId="6" xfId="1" applyFont="1" applyBorder="1"/>
    <xf numFmtId="43" fontId="4" fillId="7" borderId="6" xfId="1" applyFont="1" applyFill="1" applyBorder="1" applyAlignment="1">
      <alignment vertical="center"/>
    </xf>
    <xf numFmtId="0" fontId="5" fillId="2" borderId="6" xfId="2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2" fontId="7" fillId="7" borderId="6" xfId="0" applyNumberFormat="1" applyFont="1" applyFill="1" applyBorder="1" applyAlignment="1">
      <alignment horizontal="center" vertical="center" wrapText="1"/>
    </xf>
    <xf numFmtId="2" fontId="7" fillId="7" borderId="3" xfId="0" applyNumberFormat="1" applyFont="1" applyFill="1" applyBorder="1" applyAlignment="1">
      <alignment horizontal="center" vertical="center" wrapText="1"/>
    </xf>
    <xf numFmtId="43" fontId="7" fillId="7" borderId="6" xfId="1" applyFont="1" applyFill="1" applyBorder="1" applyAlignment="1">
      <alignment horizontal="center" vertical="center" wrapText="1"/>
    </xf>
    <xf numFmtId="0" fontId="3" fillId="7" borderId="0" xfId="0" applyFont="1" applyFill="1"/>
    <xf numFmtId="2" fontId="7" fillId="7" borderId="5" xfId="0" applyNumberFormat="1" applyFont="1" applyFill="1" applyBorder="1" applyAlignment="1">
      <alignment horizontal="center" vertical="center" wrapText="1"/>
    </xf>
    <xf numFmtId="49" fontId="7" fillId="7" borderId="6" xfId="0" applyNumberFormat="1" applyFont="1" applyFill="1" applyBorder="1" applyAlignment="1">
      <alignment horizontal="left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43" fontId="7" fillId="0" borderId="6" xfId="1" applyFont="1" applyFill="1" applyBorder="1" applyAlignment="1">
      <alignment horizontal="center" vertical="center" wrapText="1"/>
    </xf>
    <xf numFmtId="43" fontId="7" fillId="0" borderId="5" xfId="1" applyFont="1" applyFill="1" applyBorder="1" applyAlignment="1">
      <alignment horizontal="center" vertical="center" wrapText="1"/>
    </xf>
    <xf numFmtId="49" fontId="13" fillId="2" borderId="6" xfId="0" applyNumberFormat="1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wrapText="1"/>
    </xf>
    <xf numFmtId="9" fontId="3" fillId="0" borderId="0" xfId="0" applyNumberFormat="1" applyFont="1"/>
    <xf numFmtId="49" fontId="7" fillId="7" borderId="5" xfId="0" applyNumberFormat="1" applyFont="1" applyFill="1" applyBorder="1" applyAlignment="1">
      <alignment horizontal="center" vertical="top" wrapText="1"/>
    </xf>
    <xf numFmtId="49" fontId="13" fillId="7" borderId="6" xfId="0" applyNumberFormat="1" applyFont="1" applyFill="1" applyBorder="1" applyAlignment="1">
      <alignment horizontal="left" vertical="center" wrapText="1"/>
    </xf>
    <xf numFmtId="0" fontId="13" fillId="7" borderId="6" xfId="0" applyFont="1" applyFill="1" applyBorder="1" applyAlignment="1">
      <alignment horizontal="center" vertical="center" wrapText="1"/>
    </xf>
    <xf numFmtId="2" fontId="13" fillId="7" borderId="6" xfId="0" applyNumberFormat="1" applyFont="1" applyFill="1" applyBorder="1" applyAlignment="1">
      <alignment horizontal="center" vertical="center" wrapText="1"/>
    </xf>
    <xf numFmtId="49" fontId="13" fillId="2" borderId="6" xfId="0" applyNumberFormat="1" applyFont="1" applyFill="1" applyBorder="1" applyAlignment="1">
      <alignment horizontal="left" vertical="top" wrapText="1"/>
    </xf>
    <xf numFmtId="0" fontId="3" fillId="2" borderId="6" xfId="0" applyFont="1" applyFill="1" applyBorder="1"/>
    <xf numFmtId="49" fontId="7" fillId="2" borderId="6" xfId="0" applyNumberFormat="1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center" vertical="center" wrapText="1"/>
    </xf>
    <xf numFmtId="49" fontId="5" fillId="8" borderId="6" xfId="2" applyNumberFormat="1" applyFont="1" applyFill="1" applyBorder="1" applyAlignment="1">
      <alignment horizontal="center" vertical="center" wrapText="1"/>
    </xf>
    <xf numFmtId="49" fontId="7" fillId="8" borderId="6" xfId="0" applyNumberFormat="1" applyFont="1" applyFill="1" applyBorder="1" applyAlignment="1">
      <alignment vertical="center" wrapText="1"/>
    </xf>
    <xf numFmtId="2" fontId="7" fillId="8" borderId="6" xfId="0" applyNumberFormat="1" applyFont="1" applyFill="1" applyBorder="1" applyAlignment="1">
      <alignment horizontal="center" vertical="center" wrapText="1"/>
    </xf>
    <xf numFmtId="2" fontId="7" fillId="8" borderId="3" xfId="0" applyNumberFormat="1" applyFont="1" applyFill="1" applyBorder="1" applyAlignment="1">
      <alignment horizontal="center" vertical="center" wrapText="1"/>
    </xf>
    <xf numFmtId="49" fontId="7" fillId="8" borderId="6" xfId="0" applyNumberFormat="1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left" vertical="center" wrapText="1"/>
    </xf>
    <xf numFmtId="0" fontId="13" fillId="8" borderId="6" xfId="0" applyFont="1" applyFill="1" applyBorder="1" applyAlignment="1">
      <alignment horizontal="center" vertical="center" wrapText="1"/>
    </xf>
    <xf numFmtId="2" fontId="13" fillId="8" borderId="6" xfId="0" applyNumberFormat="1" applyFont="1" applyFill="1" applyBorder="1" applyAlignment="1">
      <alignment horizontal="center" vertical="center" wrapText="1"/>
    </xf>
    <xf numFmtId="49" fontId="13" fillId="8" borderId="6" xfId="0" applyNumberFormat="1" applyFont="1" applyFill="1" applyBorder="1" applyAlignment="1">
      <alignment horizontal="left" vertical="center" wrapText="1"/>
    </xf>
    <xf numFmtId="49" fontId="7" fillId="8" borderId="6" xfId="0" applyNumberFormat="1" applyFont="1" applyFill="1" applyBorder="1" applyAlignment="1">
      <alignment horizontal="center" vertical="center" wrapText="1"/>
    </xf>
    <xf numFmtId="2" fontId="5" fillId="8" borderId="6" xfId="1" applyNumberFormat="1" applyFont="1" applyFill="1" applyBorder="1" applyAlignment="1" applyProtection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49" fontId="5" fillId="2" borderId="6" xfId="2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left" vertical="center" wrapText="1"/>
    </xf>
    <xf numFmtId="2" fontId="13" fillId="0" borderId="6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49" fontId="6" fillId="0" borderId="5" xfId="2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3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49" fontId="13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right" vertical="center" wrapText="1"/>
    </xf>
    <xf numFmtId="43" fontId="19" fillId="9" borderId="6" xfId="1" applyFont="1" applyFill="1" applyBorder="1" applyAlignment="1">
      <alignment horizontal="center" vertical="center"/>
    </xf>
    <xf numFmtId="43" fontId="13" fillId="0" borderId="5" xfId="1" applyFont="1" applyFill="1" applyBorder="1" applyAlignment="1">
      <alignment horizontal="center" vertical="center" wrapText="1"/>
    </xf>
    <xf numFmtId="43" fontId="7" fillId="0" borderId="6" xfId="1" applyFont="1" applyFill="1" applyBorder="1" applyAlignment="1">
      <alignment horizontal="center" wrapText="1"/>
    </xf>
    <xf numFmtId="0" fontId="13" fillId="9" borderId="6" xfId="0" applyFont="1" applyFill="1" applyBorder="1" applyAlignment="1">
      <alignment horizontal="center" vertical="center"/>
    </xf>
    <xf numFmtId="0" fontId="19" fillId="9" borderId="6" xfId="0" applyFont="1" applyFill="1" applyBorder="1" applyAlignment="1">
      <alignment horizontal="center" vertical="center" wrapText="1"/>
    </xf>
    <xf numFmtId="0" fontId="19" fillId="9" borderId="6" xfId="0" applyFont="1" applyFill="1" applyBorder="1" applyAlignment="1">
      <alignment horizontal="center" vertical="center"/>
    </xf>
    <xf numFmtId="43" fontId="7" fillId="0" borderId="6" xfId="1" applyFont="1" applyFill="1" applyBorder="1" applyAlignment="1">
      <alignment horizontal="center" vertical="center"/>
    </xf>
    <xf numFmtId="43" fontId="7" fillId="0" borderId="6" xfId="1" applyFont="1" applyBorder="1" applyAlignment="1">
      <alignment horizontal="center" vertical="center"/>
    </xf>
    <xf numFmtId="43" fontId="7" fillId="3" borderId="6" xfId="1" applyFont="1" applyFill="1" applyBorder="1" applyAlignment="1">
      <alignment horizontal="center" vertical="center"/>
    </xf>
    <xf numFmtId="43" fontId="3" fillId="5" borderId="6" xfId="1" applyFont="1" applyFill="1" applyBorder="1" applyAlignment="1">
      <alignment horizontal="center" vertical="center" wrapText="1"/>
    </xf>
    <xf numFmtId="2" fontId="7" fillId="5" borderId="3" xfId="0" applyNumberFormat="1" applyFont="1" applyFill="1" applyBorder="1" applyAlignment="1">
      <alignment horizontal="center" vertical="center" wrapText="1"/>
    </xf>
    <xf numFmtId="43" fontId="7" fillId="5" borderId="6" xfId="1" applyFont="1" applyFill="1" applyBorder="1" applyAlignment="1">
      <alignment horizontal="center" vertical="center" wrapText="1"/>
    </xf>
    <xf numFmtId="43" fontId="7" fillId="5" borderId="5" xfId="1" applyFont="1" applyFill="1" applyBorder="1" applyAlignment="1">
      <alignment horizontal="center" vertical="center" wrapText="1"/>
    </xf>
    <xf numFmtId="2" fontId="7" fillId="5" borderId="7" xfId="0" applyNumberFormat="1" applyFont="1" applyFill="1" applyBorder="1" applyAlignment="1">
      <alignment horizontal="center" vertical="center" wrapText="1"/>
    </xf>
    <xf numFmtId="0" fontId="27" fillId="8" borderId="0" xfId="0" applyFont="1" applyFill="1" applyAlignment="1">
      <alignment horizontal="center" vertical="center" wrapText="1"/>
    </xf>
    <xf numFmtId="49" fontId="5" fillId="5" borderId="6" xfId="0" quotePrefix="1" applyNumberFormat="1" applyFont="1" applyFill="1" applyBorder="1" applyAlignment="1">
      <alignment horizontal="center" vertical="center" wrapText="1"/>
    </xf>
    <xf numFmtId="49" fontId="13" fillId="5" borderId="0" xfId="0" applyNumberFormat="1" applyFont="1" applyFill="1" applyAlignment="1">
      <alignment horizontal="center" vertical="center" wrapText="1"/>
    </xf>
    <xf numFmtId="0" fontId="7" fillId="5" borderId="6" xfId="0" applyFont="1" applyFill="1" applyBorder="1" applyAlignment="1">
      <alignment wrapText="1"/>
    </xf>
    <xf numFmtId="0" fontId="7" fillId="5" borderId="3" xfId="0" applyFont="1" applyFill="1" applyBorder="1" applyAlignment="1">
      <alignment wrapText="1"/>
    </xf>
    <xf numFmtId="49" fontId="5" fillId="10" borderId="6" xfId="0" quotePrefix="1" applyNumberFormat="1" applyFont="1" applyFill="1" applyBorder="1" applyAlignment="1">
      <alignment horizontal="center" vertical="center" wrapText="1"/>
    </xf>
    <xf numFmtId="49" fontId="13" fillId="10" borderId="0" xfId="0" applyNumberFormat="1" applyFont="1" applyFill="1" applyAlignment="1">
      <alignment horizontal="center" vertical="center" wrapText="1"/>
    </xf>
    <xf numFmtId="0" fontId="7" fillId="10" borderId="6" xfId="0" applyFont="1" applyFill="1" applyBorder="1" applyAlignment="1">
      <alignment wrapText="1"/>
    </xf>
    <xf numFmtId="2" fontId="7" fillId="10" borderId="6" xfId="0" applyNumberFormat="1" applyFont="1" applyFill="1" applyBorder="1" applyAlignment="1">
      <alignment wrapText="1"/>
    </xf>
    <xf numFmtId="164" fontId="13" fillId="10" borderId="6" xfId="0" applyNumberFormat="1" applyFont="1" applyFill="1" applyBorder="1" applyAlignment="1">
      <alignment horizontal="center" vertical="center" wrapText="1"/>
    </xf>
    <xf numFmtId="164" fontId="5" fillId="10" borderId="6" xfId="1" applyNumberFormat="1" applyFont="1" applyFill="1" applyBorder="1" applyAlignment="1" applyProtection="1">
      <alignment horizontal="center" vertical="center" wrapText="1"/>
    </xf>
    <xf numFmtId="164" fontId="7" fillId="10" borderId="6" xfId="0" applyNumberFormat="1" applyFont="1" applyFill="1" applyBorder="1" applyAlignment="1">
      <alignment horizontal="center" vertical="center" wrapText="1"/>
    </xf>
    <xf numFmtId="164" fontId="5" fillId="10" borderId="3" xfId="1" applyNumberFormat="1" applyFont="1" applyFill="1" applyBorder="1" applyAlignment="1" applyProtection="1">
      <alignment horizontal="center" vertical="center" wrapText="1"/>
    </xf>
    <xf numFmtId="2" fontId="17" fillId="10" borderId="6" xfId="1" applyNumberFormat="1" applyFont="1" applyFill="1" applyBorder="1" applyAlignment="1" applyProtection="1">
      <alignment horizontal="center" vertical="center" wrapText="1"/>
    </xf>
    <xf numFmtId="49" fontId="7" fillId="10" borderId="6" xfId="0" applyNumberFormat="1" applyFont="1" applyFill="1" applyBorder="1" applyAlignment="1">
      <alignment horizontal="center" vertical="center" wrapText="1"/>
    </xf>
    <xf numFmtId="49" fontId="13" fillId="10" borderId="6" xfId="0" applyNumberFormat="1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2" fontId="7" fillId="10" borderId="6" xfId="0" applyNumberFormat="1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wrapText="1"/>
    </xf>
    <xf numFmtId="0" fontId="4" fillId="10" borderId="6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vertical="center" wrapText="1"/>
    </xf>
    <xf numFmtId="2" fontId="3" fillId="10" borderId="6" xfId="0" applyNumberFormat="1" applyFont="1" applyFill="1" applyBorder="1" applyAlignment="1">
      <alignment vertical="center" wrapText="1"/>
    </xf>
    <xf numFmtId="43" fontId="4" fillId="10" borderId="6" xfId="1" applyFont="1" applyFill="1" applyBorder="1" applyAlignment="1">
      <alignment horizontal="center" vertical="center" wrapText="1"/>
    </xf>
    <xf numFmtId="49" fontId="17" fillId="10" borderId="6" xfId="2" applyNumberFormat="1" applyFont="1" applyFill="1" applyBorder="1" applyAlignment="1">
      <alignment horizontal="center" vertical="center" wrapText="1"/>
    </xf>
    <xf numFmtId="49" fontId="4" fillId="10" borderId="1" xfId="0" applyNumberFormat="1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 vertical="center" wrapText="1"/>
    </xf>
    <xf numFmtId="2" fontId="13" fillId="10" borderId="5" xfId="0" applyNumberFormat="1" applyFont="1" applyFill="1" applyBorder="1" applyAlignment="1">
      <alignment horizontal="center" vertical="center" wrapText="1"/>
    </xf>
    <xf numFmtId="2" fontId="7" fillId="10" borderId="5" xfId="0" applyNumberFormat="1" applyFont="1" applyFill="1" applyBorder="1" applyAlignment="1">
      <alignment horizontal="center" vertical="center" wrapText="1"/>
    </xf>
    <xf numFmtId="2" fontId="7" fillId="10" borderId="7" xfId="0" applyNumberFormat="1" applyFont="1" applyFill="1" applyBorder="1" applyAlignment="1">
      <alignment horizontal="center" vertical="center" wrapText="1"/>
    </xf>
    <xf numFmtId="43" fontId="7" fillId="10" borderId="5" xfId="1" applyFont="1" applyFill="1" applyBorder="1" applyAlignment="1">
      <alignment horizontal="center" vertical="center" wrapText="1"/>
    </xf>
    <xf numFmtId="49" fontId="9" fillId="10" borderId="6" xfId="2" applyNumberFormat="1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2" fontId="4" fillId="10" borderId="5" xfId="0" applyNumberFormat="1" applyFont="1" applyFill="1" applyBorder="1" applyAlignment="1">
      <alignment horizontal="center" vertical="center" wrapText="1"/>
    </xf>
    <xf numFmtId="2" fontId="7" fillId="10" borderId="3" xfId="0" applyNumberFormat="1" applyFont="1" applyFill="1" applyBorder="1" applyAlignment="1">
      <alignment horizontal="center" vertical="center" wrapText="1"/>
    </xf>
    <xf numFmtId="43" fontId="7" fillId="10" borderId="6" xfId="1" applyFont="1" applyFill="1" applyBorder="1" applyAlignment="1">
      <alignment horizontal="center" vertical="center" wrapText="1"/>
    </xf>
    <xf numFmtId="49" fontId="3" fillId="10" borderId="6" xfId="0" applyNumberFormat="1" applyFont="1" applyFill="1" applyBorder="1" applyAlignment="1">
      <alignment horizontal="center" vertical="center" wrapText="1"/>
    </xf>
    <xf numFmtId="49" fontId="4" fillId="10" borderId="6" xfId="0" applyNumberFormat="1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2" fontId="3" fillId="10" borderId="6" xfId="0" applyNumberFormat="1" applyFont="1" applyFill="1" applyBorder="1" applyAlignment="1">
      <alignment horizontal="center" vertical="center" wrapText="1"/>
    </xf>
    <xf numFmtId="43" fontId="3" fillId="10" borderId="6" xfId="1" applyFont="1" applyFill="1" applyBorder="1" applyAlignment="1">
      <alignment horizontal="center" vertical="center" wrapText="1"/>
    </xf>
    <xf numFmtId="49" fontId="7" fillId="10" borderId="5" xfId="0" applyNumberFormat="1" applyFont="1" applyFill="1" applyBorder="1" applyAlignment="1">
      <alignment horizontal="center" vertical="top" wrapText="1"/>
    </xf>
    <xf numFmtId="49" fontId="5" fillId="10" borderId="8" xfId="2" applyNumberFormat="1" applyFont="1" applyFill="1" applyBorder="1" applyAlignment="1">
      <alignment horizontal="center" vertical="center" wrapText="1"/>
    </xf>
    <xf numFmtId="49" fontId="4" fillId="10" borderId="0" xfId="0" applyNumberFormat="1" applyFont="1" applyFill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49" fontId="5" fillId="10" borderId="5" xfId="2" applyNumberFormat="1" applyFont="1" applyFill="1" applyBorder="1" applyAlignment="1">
      <alignment horizontal="center" vertical="center" wrapText="1"/>
    </xf>
    <xf numFmtId="4" fontId="4" fillId="10" borderId="6" xfId="0" applyNumberFormat="1" applyFont="1" applyFill="1" applyBorder="1" applyAlignment="1">
      <alignment horizontal="center" vertical="center" wrapText="1"/>
    </xf>
    <xf numFmtId="49" fontId="5" fillId="10" borderId="6" xfId="2" applyNumberFormat="1" applyFont="1" applyFill="1" applyBorder="1" applyAlignment="1">
      <alignment horizontal="center" vertical="center" wrapText="1"/>
    </xf>
    <xf numFmtId="49" fontId="4" fillId="10" borderId="3" xfId="0" applyNumberFormat="1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49" fontId="7" fillId="10" borderId="6" xfId="0" applyNumberFormat="1" applyFont="1" applyFill="1" applyBorder="1" applyAlignment="1">
      <alignment horizontal="center" wrapText="1"/>
    </xf>
    <xf numFmtId="0" fontId="7" fillId="10" borderId="6" xfId="0" applyFont="1" applyFill="1" applyBorder="1" applyAlignment="1">
      <alignment horizontal="center" wrapText="1"/>
    </xf>
    <xf numFmtId="2" fontId="7" fillId="10" borderId="6" xfId="0" applyNumberFormat="1" applyFont="1" applyFill="1" applyBorder="1" applyAlignment="1">
      <alignment horizontal="center" wrapText="1"/>
    </xf>
    <xf numFmtId="49" fontId="13" fillId="10" borderId="1" xfId="0" applyNumberFormat="1" applyFont="1" applyFill="1" applyBorder="1" applyAlignment="1">
      <alignment horizontal="center" vertical="center" wrapText="1"/>
    </xf>
    <xf numFmtId="0" fontId="13" fillId="10" borderId="6" xfId="0" applyFont="1" applyFill="1" applyBorder="1" applyAlignment="1">
      <alignment horizontal="center" wrapText="1"/>
    </xf>
    <xf numFmtId="4" fontId="13" fillId="10" borderId="6" xfId="0" applyNumberFormat="1" applyFont="1" applyFill="1" applyBorder="1"/>
    <xf numFmtId="9" fontId="3" fillId="0" borderId="12" xfId="0" applyNumberFormat="1" applyFont="1" applyBorder="1"/>
    <xf numFmtId="0" fontId="3" fillId="0" borderId="12" xfId="0" applyFont="1" applyBorder="1"/>
    <xf numFmtId="2" fontId="7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1" xfId="0" applyFont="1" applyBorder="1"/>
    <xf numFmtId="0" fontId="14" fillId="0" borderId="10" xfId="0" applyFont="1" applyBorder="1"/>
    <xf numFmtId="0" fontId="24" fillId="0" borderId="14" xfId="0" applyFont="1" applyBorder="1"/>
    <xf numFmtId="2" fontId="7" fillId="0" borderId="16" xfId="0" applyNumberFormat="1" applyFont="1" applyBorder="1" applyAlignment="1">
      <alignment horizontal="center" vertical="center" wrapText="1"/>
    </xf>
    <xf numFmtId="9" fontId="3" fillId="0" borderId="15" xfId="0" applyNumberFormat="1" applyFont="1" applyBorder="1"/>
    <xf numFmtId="0" fontId="3" fillId="0" borderId="17" xfId="0" applyFont="1" applyBorder="1"/>
    <xf numFmtId="49" fontId="28" fillId="0" borderId="3" xfId="0" applyNumberFormat="1" applyFont="1" applyBorder="1" applyAlignment="1">
      <alignment horizontal="left" vertical="center" wrapText="1"/>
    </xf>
    <xf numFmtId="0" fontId="28" fillId="8" borderId="6" xfId="0" applyFont="1" applyFill="1" applyBorder="1" applyAlignment="1">
      <alignment horizontal="left" vertical="center" wrapText="1"/>
    </xf>
    <xf numFmtId="0" fontId="29" fillId="2" borderId="6" xfId="0" applyFont="1" applyFill="1" applyBorder="1" applyAlignment="1">
      <alignment horizontal="left" vertical="center" wrapText="1"/>
    </xf>
    <xf numFmtId="49" fontId="29" fillId="8" borderId="3" xfId="0" applyNumberFormat="1" applyFont="1" applyFill="1" applyBorder="1" applyAlignment="1">
      <alignment horizontal="left" vertical="center" wrapText="1"/>
    </xf>
    <xf numFmtId="0" fontId="3" fillId="8" borderId="6" xfId="0" applyFont="1" applyFill="1" applyBorder="1"/>
    <xf numFmtId="49" fontId="7" fillId="8" borderId="3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16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" fontId="3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16" fontId="2" fillId="0" borderId="9" xfId="0" applyNumberFormat="1" applyFont="1" applyBorder="1" applyAlignment="1">
      <alignment horizontal="center" vertical="center"/>
    </xf>
    <xf numFmtId="16" fontId="2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3" fontId="5" fillId="0" borderId="2" xfId="1" applyFont="1" applyFill="1" applyBorder="1" applyAlignment="1">
      <alignment horizontal="center" vertical="center" wrapText="1"/>
    </xf>
    <xf numFmtId="43" fontId="5" fillId="0" borderId="5" xfId="1" applyFont="1" applyFill="1" applyBorder="1" applyAlignment="1">
      <alignment horizontal="center" vertical="center" wrapText="1"/>
    </xf>
    <xf numFmtId="49" fontId="5" fillId="0" borderId="2" xfId="2" applyNumberFormat="1" applyFont="1" applyBorder="1" applyAlignment="1">
      <alignment horizontal="center" vertical="top" wrapText="1"/>
    </xf>
    <xf numFmtId="49" fontId="5" fillId="0" borderId="8" xfId="2" applyNumberFormat="1" applyFont="1" applyBorder="1" applyAlignment="1">
      <alignment horizontal="center" vertical="top" wrapText="1"/>
    </xf>
    <xf numFmtId="49" fontId="5" fillId="0" borderId="5" xfId="2" applyNumberFormat="1" applyFont="1" applyBorder="1" applyAlignment="1">
      <alignment horizontal="center" vertical="top" wrapText="1"/>
    </xf>
    <xf numFmtId="49" fontId="5" fillId="0" borderId="2" xfId="2" applyNumberFormat="1" applyFont="1" applyBorder="1" applyAlignment="1">
      <alignment horizontal="center" vertical="center" wrapText="1"/>
    </xf>
    <xf numFmtId="49" fontId="5" fillId="0" borderId="8" xfId="2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3" fontId="5" fillId="0" borderId="2" xfId="1" applyFont="1" applyBorder="1" applyAlignment="1">
      <alignment horizontal="center" vertical="center" wrapText="1"/>
    </xf>
    <xf numFmtId="43" fontId="5" fillId="0" borderId="5" xfId="1" applyFont="1" applyBorder="1" applyAlignment="1">
      <alignment horizontal="center" vertical="center" wrapText="1"/>
    </xf>
    <xf numFmtId="1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16" fontId="2" fillId="2" borderId="3" xfId="0" applyNumberFormat="1" applyFont="1" applyFill="1" applyBorder="1" applyAlignment="1">
      <alignment horizontal="center" vertical="center"/>
    </xf>
    <xf numFmtId="16" fontId="2" fillId="2" borderId="9" xfId="0" applyNumberFormat="1" applyFont="1" applyFill="1" applyBorder="1" applyAlignment="1">
      <alignment horizontal="center" vertical="center"/>
    </xf>
    <xf numFmtId="16" fontId="2" fillId="2" borderId="4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top" wrapText="1"/>
    </xf>
    <xf numFmtId="49" fontId="7" fillId="2" borderId="5" xfId="0" applyNumberFormat="1" applyFont="1" applyFill="1" applyBorder="1" applyAlignment="1">
      <alignment horizontal="center" vertical="top" wrapText="1"/>
    </xf>
    <xf numFmtId="0" fontId="5" fillId="0" borderId="2" xfId="2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16" fontId="2" fillId="8" borderId="3" xfId="0" applyNumberFormat="1" applyFont="1" applyFill="1" applyBorder="1" applyAlignment="1">
      <alignment horizontal="center" vertical="center"/>
    </xf>
    <xf numFmtId="16" fontId="2" fillId="8" borderId="9" xfId="0" applyNumberFormat="1" applyFont="1" applyFill="1" applyBorder="1" applyAlignment="1">
      <alignment horizontal="center" vertical="center"/>
    </xf>
    <xf numFmtId="16" fontId="2" fillId="8" borderId="4" xfId="0" applyNumberFormat="1" applyFont="1" applyFill="1" applyBorder="1" applyAlignment="1">
      <alignment horizontal="center" vertical="center"/>
    </xf>
    <xf numFmtId="0" fontId="5" fillId="0" borderId="2" xfId="2" applyFont="1" applyBorder="1" applyAlignment="1">
      <alignment horizontal="center" vertical="top" wrapText="1"/>
    </xf>
    <xf numFmtId="49" fontId="7" fillId="3" borderId="2" xfId="0" applyNumberFormat="1" applyFont="1" applyFill="1" applyBorder="1" applyAlignment="1">
      <alignment horizontal="center" vertical="top" wrapText="1"/>
    </xf>
    <xf numFmtId="49" fontId="7" fillId="3" borderId="8" xfId="0" applyNumberFormat="1" applyFont="1" applyFill="1" applyBorder="1" applyAlignment="1">
      <alignment horizontal="center" vertical="top" wrapText="1"/>
    </xf>
    <xf numFmtId="49" fontId="7" fillId="3" borderId="5" xfId="0" applyNumberFormat="1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5" fillId="0" borderId="5" xfId="2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2" fontId="22" fillId="0" borderId="2" xfId="0" applyNumberFormat="1" applyFont="1" applyBorder="1" applyAlignment="1">
      <alignment horizontal="center" vertical="center" wrapText="1"/>
    </xf>
    <xf numFmtId="2" fontId="22" fillId="0" borderId="5" xfId="0" applyNumberFormat="1" applyFont="1" applyBorder="1" applyAlignment="1">
      <alignment horizontal="center" vertical="center" wrapText="1"/>
    </xf>
    <xf numFmtId="2" fontId="22" fillId="0" borderId="3" xfId="0" applyNumberFormat="1" applyFont="1" applyBorder="1" applyAlignment="1">
      <alignment horizontal="center" vertical="center" wrapText="1"/>
    </xf>
    <xf numFmtId="2" fontId="22" fillId="0" borderId="4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</cellXfs>
  <cellStyles count="4">
    <cellStyle name="Comma" xfId="1" builtinId="3"/>
    <cellStyle name="Comma 2" xfId="3" xr:uid="{00000000-0005-0000-0000-000001000000}"/>
    <cellStyle name="Normal" xfId="0" builtinId="0"/>
    <cellStyle name="Normal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4"/>
  <sheetViews>
    <sheetView topLeftCell="A4" zoomScaleNormal="100" workbookViewId="0">
      <selection activeCell="B6" sqref="B6"/>
    </sheetView>
  </sheetViews>
  <sheetFormatPr defaultColWidth="9.08984375" defaultRowHeight="13.5" x14ac:dyDescent="0.35"/>
  <cols>
    <col min="1" max="1" width="3.6328125" style="130" bestFit="1" customWidth="1"/>
    <col min="2" max="2" width="37.453125" style="158" bestFit="1" customWidth="1"/>
    <col min="3" max="3" width="24.453125" style="161" bestFit="1" customWidth="1"/>
    <col min="4" max="4" width="31.90625" style="161" bestFit="1" customWidth="1"/>
    <col min="5" max="16384" width="9.08984375" style="158"/>
  </cols>
  <sheetData>
    <row r="2" spans="1:4" x14ac:dyDescent="0.35">
      <c r="A2" s="333" t="s">
        <v>383</v>
      </c>
      <c r="B2" s="333"/>
      <c r="C2" s="333"/>
      <c r="D2" s="333"/>
    </row>
    <row r="4" spans="1:4" s="159" customFormat="1" ht="27" x14ac:dyDescent="0.35">
      <c r="A4" s="146" t="s">
        <v>151</v>
      </c>
      <c r="B4" s="146" t="s">
        <v>152</v>
      </c>
      <c r="C4" s="162" t="s">
        <v>386</v>
      </c>
      <c r="D4" s="162" t="s">
        <v>153</v>
      </c>
    </row>
    <row r="5" spans="1:4" ht="25.25" customHeight="1" x14ac:dyDescent="0.35">
      <c r="A5" s="251">
        <v>1</v>
      </c>
      <c r="B5" s="253" t="s">
        <v>154</v>
      </c>
      <c r="C5" s="248">
        <f>SUM(C6:C7)</f>
        <v>623</v>
      </c>
      <c r="D5" s="248" t="e">
        <f>SUM(D6:D7)</f>
        <v>#VALUE!</v>
      </c>
    </row>
    <row r="6" spans="1:4" ht="25.25" customHeight="1" x14ac:dyDescent="0.35">
      <c r="A6" s="74" t="s">
        <v>159</v>
      </c>
      <c r="B6" s="78" t="s">
        <v>161</v>
      </c>
      <c r="C6" s="254">
        <v>419</v>
      </c>
      <c r="D6" s="254">
        <f>'I სართ. ეს'!K109</f>
        <v>0</v>
      </c>
    </row>
    <row r="7" spans="1:4" ht="25.25" customHeight="1" x14ac:dyDescent="0.35">
      <c r="A7" s="74" t="s">
        <v>160</v>
      </c>
      <c r="B7" s="78" t="s">
        <v>162</v>
      </c>
      <c r="C7" s="254">
        <v>204</v>
      </c>
      <c r="D7" s="254" t="e">
        <f>'I სართ. ეს'!K187</f>
        <v>#VALUE!</v>
      </c>
    </row>
    <row r="8" spans="1:4" ht="25.25" customHeight="1" x14ac:dyDescent="0.35">
      <c r="A8" s="251">
        <v>2</v>
      </c>
      <c r="B8" s="253" t="s">
        <v>155</v>
      </c>
      <c r="C8" s="248">
        <f>SUM(C9)</f>
        <v>143</v>
      </c>
      <c r="D8" s="248" t="e">
        <f>SUM(D9)</f>
        <v>#VALUE!</v>
      </c>
    </row>
    <row r="9" spans="1:4" ht="25.25" customHeight="1" x14ac:dyDescent="0.35">
      <c r="A9" s="74" t="s">
        <v>158</v>
      </c>
      <c r="B9" s="78" t="s">
        <v>163</v>
      </c>
      <c r="C9" s="255">
        <v>143</v>
      </c>
      <c r="D9" s="256" t="e">
        <f>'IIსართ.  ეს'!K76</f>
        <v>#VALUE!</v>
      </c>
    </row>
    <row r="10" spans="1:4" ht="25.25" customHeight="1" x14ac:dyDescent="0.35">
      <c r="A10" s="251">
        <v>3</v>
      </c>
      <c r="B10" s="252" t="s">
        <v>456</v>
      </c>
      <c r="C10" s="248">
        <f>SUM(C11)</f>
        <v>968.13</v>
      </c>
      <c r="D10" s="248" t="e">
        <f>SUM(D11)</f>
        <v>#VALUE!</v>
      </c>
    </row>
    <row r="11" spans="1:4" ht="25.25" customHeight="1" x14ac:dyDescent="0.35">
      <c r="A11" s="171" t="s">
        <v>157</v>
      </c>
      <c r="B11" s="222" t="s">
        <v>387</v>
      </c>
      <c r="C11" s="254">
        <v>968.13</v>
      </c>
      <c r="D11" s="254" t="e">
        <f>'III სართ. ეს'!K79</f>
        <v>#VALUE!</v>
      </c>
    </row>
    <row r="12" spans="1:4" ht="25.25" customHeight="1" x14ac:dyDescent="0.35">
      <c r="A12" s="251">
        <v>4</v>
      </c>
      <c r="B12" s="253" t="s">
        <v>457</v>
      </c>
      <c r="C12" s="248">
        <v>968.13</v>
      </c>
      <c r="D12" s="248" t="e">
        <f>'IV სართ. ეს'!K192</f>
        <v>#VALUE!</v>
      </c>
    </row>
    <row r="13" spans="1:4" ht="25.25" customHeight="1" x14ac:dyDescent="0.35">
      <c r="A13" s="251">
        <v>5</v>
      </c>
      <c r="B13" s="253" t="s">
        <v>458</v>
      </c>
      <c r="C13" s="248">
        <v>978.8</v>
      </c>
      <c r="D13" s="248" t="e">
        <f>'V სართ. ეს'!K174</f>
        <v>#VALUE!</v>
      </c>
    </row>
    <row r="14" spans="1:4" ht="25.25" customHeight="1" x14ac:dyDescent="0.35">
      <c r="A14" s="131"/>
      <c r="B14" s="160" t="s">
        <v>156</v>
      </c>
      <c r="C14" s="163">
        <f>SUM(C5:C13)</f>
        <v>5415.1900000000005</v>
      </c>
      <c r="D14" s="163" t="e">
        <f>SUM(D5,D8,D10,D12,D13)</f>
        <v>#VALUE!</v>
      </c>
    </row>
  </sheetData>
  <mergeCells count="1">
    <mergeCell ref="A2:D2"/>
  </mergeCells>
  <pageMargins left="0.7" right="0.7" top="1" bottom="0.75" header="0.3" footer="0.3"/>
  <pageSetup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L190"/>
  <sheetViews>
    <sheetView topLeftCell="A173" zoomScaleNormal="100" workbookViewId="0">
      <selection activeCell="C184" sqref="C184"/>
    </sheetView>
  </sheetViews>
  <sheetFormatPr defaultColWidth="9.08984375" defaultRowHeight="14.5" x14ac:dyDescent="0.35"/>
  <cols>
    <col min="1" max="1" width="4.54296875" style="1" customWidth="1"/>
    <col min="2" max="2" width="53.08984375" style="1" customWidth="1"/>
    <col min="3" max="3" width="7.54296875" style="1" customWidth="1"/>
    <col min="4" max="4" width="10.36328125" style="76" customWidth="1"/>
    <col min="5" max="5" width="8.90625" style="1" customWidth="1"/>
    <col min="6" max="6" width="12.36328125" style="1" customWidth="1"/>
    <col min="7" max="7" width="8.453125" style="1" customWidth="1"/>
    <col min="8" max="8" width="12.6328125" style="1" customWidth="1"/>
    <col min="9" max="9" width="8" style="1" customWidth="1"/>
    <col min="10" max="10" width="11.36328125" style="1" customWidth="1"/>
    <col min="11" max="11" width="15.36328125" style="172" customWidth="1"/>
    <col min="12" max="12" width="13.54296875" style="1" customWidth="1"/>
    <col min="13" max="16384" width="9.08984375" style="1"/>
  </cols>
  <sheetData>
    <row r="1" spans="1:11" ht="20.149999999999999" customHeight="1" x14ac:dyDescent="0.4">
      <c r="B1" s="334" t="s">
        <v>348</v>
      </c>
      <c r="C1" s="335"/>
      <c r="D1" s="335"/>
      <c r="E1" s="335"/>
      <c r="F1" s="335"/>
      <c r="G1" s="335"/>
      <c r="H1" s="335"/>
      <c r="I1" s="335"/>
      <c r="J1" s="335"/>
    </row>
    <row r="2" spans="1:11" ht="20.149999999999999" customHeight="1" x14ac:dyDescent="0.35">
      <c r="B2" s="336" t="s">
        <v>368</v>
      </c>
      <c r="C2" s="336"/>
      <c r="D2" s="336"/>
      <c r="E2" s="336"/>
      <c r="F2" s="336"/>
      <c r="G2" s="336"/>
      <c r="H2" s="336"/>
      <c r="I2" s="336"/>
      <c r="J2" s="336"/>
    </row>
    <row r="3" spans="1:11" ht="20.149999999999999" customHeight="1" x14ac:dyDescent="0.35">
      <c r="A3" s="337"/>
      <c r="B3" s="337"/>
      <c r="C3" s="337"/>
      <c r="D3" s="338" t="s">
        <v>365</v>
      </c>
      <c r="E3" s="338"/>
      <c r="F3" s="338"/>
      <c r="G3" s="338"/>
      <c r="H3" s="338"/>
      <c r="I3" s="339" t="e">
        <f>K190</f>
        <v>#VALUE!</v>
      </c>
      <c r="J3" s="339"/>
      <c r="K3" s="173" t="s">
        <v>1</v>
      </c>
    </row>
    <row r="4" spans="1:11" x14ac:dyDescent="0.35">
      <c r="A4" s="107"/>
      <c r="B4" s="110"/>
      <c r="C4" s="111"/>
      <c r="D4" s="112"/>
      <c r="E4" s="112"/>
      <c r="F4" s="112"/>
      <c r="G4" s="112"/>
      <c r="H4" s="112"/>
      <c r="I4" s="112"/>
      <c r="J4" s="112"/>
      <c r="K4" s="174"/>
    </row>
    <row r="5" spans="1:11" ht="24.9" customHeight="1" x14ac:dyDescent="0.35">
      <c r="A5" s="340" t="s">
        <v>230</v>
      </c>
      <c r="B5" s="341"/>
      <c r="C5" s="341"/>
      <c r="D5" s="341"/>
      <c r="E5" s="341"/>
      <c r="F5" s="341"/>
      <c r="G5" s="341"/>
      <c r="H5" s="341"/>
      <c r="I5" s="341"/>
      <c r="J5" s="341"/>
      <c r="K5" s="342"/>
    </row>
    <row r="6" spans="1:11" x14ac:dyDescent="0.35">
      <c r="A6" s="343" t="s">
        <v>2</v>
      </c>
      <c r="B6" s="343" t="s">
        <v>3</v>
      </c>
      <c r="C6" s="343" t="s">
        <v>4</v>
      </c>
      <c r="D6" s="345" t="s">
        <v>5</v>
      </c>
      <c r="E6" s="347" t="s">
        <v>6</v>
      </c>
      <c r="F6" s="348"/>
      <c r="G6" s="349" t="s">
        <v>7</v>
      </c>
      <c r="H6" s="350"/>
      <c r="I6" s="351" t="s">
        <v>8</v>
      </c>
      <c r="J6" s="352"/>
      <c r="K6" s="356" t="s">
        <v>9</v>
      </c>
    </row>
    <row r="7" spans="1:11" ht="27" x14ac:dyDescent="0.35">
      <c r="A7" s="344"/>
      <c r="B7" s="344"/>
      <c r="C7" s="344"/>
      <c r="D7" s="346"/>
      <c r="E7" s="116" t="s">
        <v>10</v>
      </c>
      <c r="F7" s="140" t="s">
        <v>9</v>
      </c>
      <c r="G7" s="141" t="s">
        <v>10</v>
      </c>
      <c r="H7" s="140" t="s">
        <v>9</v>
      </c>
      <c r="I7" s="141" t="s">
        <v>10</v>
      </c>
      <c r="J7" s="140" t="s">
        <v>11</v>
      </c>
      <c r="K7" s="357"/>
    </row>
    <row r="8" spans="1:11" x14ac:dyDescent="0.35">
      <c r="A8" s="2">
        <v>1</v>
      </c>
      <c r="B8" s="2">
        <v>2</v>
      </c>
      <c r="C8" s="2">
        <v>3</v>
      </c>
      <c r="D8" s="3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4">
        <v>10</v>
      </c>
      <c r="K8" s="198">
        <v>11</v>
      </c>
    </row>
    <row r="9" spans="1:11" x14ac:dyDescent="0.35">
      <c r="A9" s="2"/>
      <c r="B9" s="226" t="s">
        <v>73</v>
      </c>
      <c r="C9" s="26"/>
      <c r="D9" s="139"/>
      <c r="E9" s="139"/>
      <c r="F9" s="139"/>
      <c r="G9" s="139"/>
      <c r="H9" s="139"/>
      <c r="I9" s="139"/>
      <c r="J9" s="21"/>
      <c r="K9" s="199"/>
    </row>
    <row r="10" spans="1:11" ht="27" x14ac:dyDescent="0.35">
      <c r="A10" s="47">
        <v>1</v>
      </c>
      <c r="B10" s="9" t="s">
        <v>88</v>
      </c>
      <c r="C10" s="2" t="s">
        <v>13</v>
      </c>
      <c r="D10" s="142">
        <v>77</v>
      </c>
      <c r="E10" s="142"/>
      <c r="F10" s="142"/>
      <c r="G10" s="142"/>
      <c r="H10" s="142">
        <f t="shared" ref="H10:H28" si="0">G10*D10</f>
        <v>0</v>
      </c>
      <c r="I10" s="142"/>
      <c r="J10" s="10">
        <f>I10*D10</f>
        <v>0</v>
      </c>
      <c r="K10" s="198">
        <f t="shared" ref="K10:K29" si="1">J10+H10+F10</f>
        <v>0</v>
      </c>
    </row>
    <row r="11" spans="1:11" ht="27" x14ac:dyDescent="0.35">
      <c r="A11" s="47">
        <v>2</v>
      </c>
      <c r="B11" s="9" t="s">
        <v>15</v>
      </c>
      <c r="C11" s="2" t="s">
        <v>16</v>
      </c>
      <c r="D11" s="142">
        <v>48</v>
      </c>
      <c r="E11" s="142"/>
      <c r="F11" s="142"/>
      <c r="G11" s="142"/>
      <c r="H11" s="142">
        <f t="shared" si="0"/>
        <v>0</v>
      </c>
      <c r="I11" s="142"/>
      <c r="J11" s="10">
        <f>I11*D11</f>
        <v>0</v>
      </c>
      <c r="K11" s="198">
        <f t="shared" si="1"/>
        <v>0</v>
      </c>
    </row>
    <row r="12" spans="1:11" ht="27" x14ac:dyDescent="0.35">
      <c r="A12" s="47">
        <v>3</v>
      </c>
      <c r="B12" s="9" t="s">
        <v>18</v>
      </c>
      <c r="C12" s="2" t="s">
        <v>16</v>
      </c>
      <c r="D12" s="142">
        <v>8</v>
      </c>
      <c r="E12" s="142"/>
      <c r="F12" s="142"/>
      <c r="G12" s="142"/>
      <c r="H12" s="142">
        <f t="shared" si="0"/>
        <v>0</v>
      </c>
      <c r="I12" s="142"/>
      <c r="J12" s="10">
        <f>I12*D12</f>
        <v>0</v>
      </c>
      <c r="K12" s="198">
        <f t="shared" si="1"/>
        <v>0</v>
      </c>
    </row>
    <row r="13" spans="1:11" x14ac:dyDescent="0.35">
      <c r="A13" s="47">
        <v>4</v>
      </c>
      <c r="B13" s="9" t="s">
        <v>74</v>
      </c>
      <c r="C13" s="2" t="s">
        <v>13</v>
      </c>
      <c r="D13" s="142">
        <v>17.2</v>
      </c>
      <c r="E13" s="142"/>
      <c r="F13" s="142"/>
      <c r="G13" s="142"/>
      <c r="H13" s="142">
        <f t="shared" si="0"/>
        <v>0</v>
      </c>
      <c r="I13" s="142"/>
      <c r="J13" s="10">
        <f>I13*D13</f>
        <v>0</v>
      </c>
      <c r="K13" s="198">
        <f t="shared" si="1"/>
        <v>0</v>
      </c>
    </row>
    <row r="14" spans="1:11" ht="27" x14ac:dyDescent="0.35">
      <c r="A14" s="47">
        <v>5</v>
      </c>
      <c r="B14" s="16" t="s">
        <v>388</v>
      </c>
      <c r="C14" s="26" t="s">
        <v>16</v>
      </c>
      <c r="D14" s="139">
        <v>4</v>
      </c>
      <c r="E14" s="139"/>
      <c r="F14" s="139"/>
      <c r="G14" s="139"/>
      <c r="H14" s="139">
        <f>G14*D14</f>
        <v>0</v>
      </c>
      <c r="I14" s="139"/>
      <c r="J14" s="21">
        <f>I14*D14</f>
        <v>0</v>
      </c>
      <c r="K14" s="199">
        <f>J14+H14+F14</f>
        <v>0</v>
      </c>
    </row>
    <row r="15" spans="1:11" x14ac:dyDescent="0.35">
      <c r="A15" s="47">
        <v>6</v>
      </c>
      <c r="B15" s="13" t="s">
        <v>75</v>
      </c>
      <c r="C15" s="2" t="s">
        <v>16</v>
      </c>
      <c r="D15" s="142">
        <v>42</v>
      </c>
      <c r="E15" s="139"/>
      <c r="F15" s="139"/>
      <c r="G15" s="139"/>
      <c r="H15" s="142">
        <f t="shared" si="0"/>
        <v>0</v>
      </c>
      <c r="I15" s="139"/>
      <c r="J15" s="10"/>
      <c r="K15" s="198">
        <f t="shared" si="1"/>
        <v>0</v>
      </c>
    </row>
    <row r="16" spans="1:11" x14ac:dyDescent="0.35">
      <c r="A16" s="47">
        <v>7</v>
      </c>
      <c r="B16" s="13" t="s">
        <v>76</v>
      </c>
      <c r="C16" s="2" t="s">
        <v>16</v>
      </c>
      <c r="D16" s="142">
        <v>25</v>
      </c>
      <c r="E16" s="139"/>
      <c r="F16" s="139"/>
      <c r="G16" s="139"/>
      <c r="H16" s="142">
        <f t="shared" si="0"/>
        <v>0</v>
      </c>
      <c r="I16" s="139"/>
      <c r="J16" s="10"/>
      <c r="K16" s="198">
        <f t="shared" si="1"/>
        <v>0</v>
      </c>
    </row>
    <row r="17" spans="1:11" ht="40.5" x14ac:dyDescent="0.35">
      <c r="A17" s="47">
        <v>8</v>
      </c>
      <c r="B17" s="9" t="s">
        <v>89</v>
      </c>
      <c r="C17" s="2" t="s">
        <v>13</v>
      </c>
      <c r="D17" s="59">
        <f>1.15*2.05*21</f>
        <v>49.507499999999986</v>
      </c>
      <c r="E17" s="142"/>
      <c r="F17" s="142"/>
      <c r="G17" s="142"/>
      <c r="H17" s="142">
        <f t="shared" si="0"/>
        <v>0</v>
      </c>
      <c r="I17" s="142"/>
      <c r="J17" s="10">
        <f t="shared" ref="J17:J29" si="2">I17*D17</f>
        <v>0</v>
      </c>
      <c r="K17" s="198">
        <f t="shared" si="1"/>
        <v>0</v>
      </c>
    </row>
    <row r="18" spans="1:11" ht="40.5" x14ac:dyDescent="0.35">
      <c r="A18" s="47">
        <v>9</v>
      </c>
      <c r="B18" s="9" t="s">
        <v>90</v>
      </c>
      <c r="C18" s="2" t="s">
        <v>13</v>
      </c>
      <c r="D18" s="59">
        <f>1.5*2.05*4</f>
        <v>12.299999999999999</v>
      </c>
      <c r="E18" s="142"/>
      <c r="F18" s="142"/>
      <c r="G18" s="142"/>
      <c r="H18" s="142">
        <f t="shared" si="0"/>
        <v>0</v>
      </c>
      <c r="I18" s="142"/>
      <c r="J18" s="10">
        <f t="shared" si="2"/>
        <v>0</v>
      </c>
      <c r="K18" s="198">
        <f t="shared" si="1"/>
        <v>0</v>
      </c>
    </row>
    <row r="19" spans="1:11" ht="27" x14ac:dyDescent="0.35">
      <c r="A19" s="47">
        <v>10</v>
      </c>
      <c r="B19" s="13" t="s">
        <v>91</v>
      </c>
      <c r="C19" s="2" t="s">
        <v>20</v>
      </c>
      <c r="D19" s="142">
        <v>22</v>
      </c>
      <c r="E19" s="139"/>
      <c r="F19" s="139"/>
      <c r="G19" s="139"/>
      <c r="H19" s="142">
        <f t="shared" si="0"/>
        <v>0</v>
      </c>
      <c r="I19" s="139"/>
      <c r="J19" s="10">
        <f t="shared" si="2"/>
        <v>0</v>
      </c>
      <c r="K19" s="198">
        <f t="shared" si="1"/>
        <v>0</v>
      </c>
    </row>
    <row r="20" spans="1:11" ht="27" x14ac:dyDescent="0.35">
      <c r="A20" s="47">
        <v>11</v>
      </c>
      <c r="B20" s="13" t="s">
        <v>21</v>
      </c>
      <c r="C20" s="2" t="s">
        <v>22</v>
      </c>
      <c r="D20" s="142">
        <v>180</v>
      </c>
      <c r="E20" s="139"/>
      <c r="F20" s="139"/>
      <c r="G20" s="139"/>
      <c r="H20" s="142">
        <f t="shared" si="0"/>
        <v>0</v>
      </c>
      <c r="I20" s="139"/>
      <c r="J20" s="10">
        <f t="shared" si="2"/>
        <v>0</v>
      </c>
      <c r="K20" s="198">
        <f t="shared" si="1"/>
        <v>0</v>
      </c>
    </row>
    <row r="21" spans="1:11" x14ac:dyDescent="0.35">
      <c r="A21" s="47">
        <v>12</v>
      </c>
      <c r="B21" s="13" t="s">
        <v>19</v>
      </c>
      <c r="C21" s="2" t="s">
        <v>20</v>
      </c>
      <c r="D21" s="142">
        <v>17</v>
      </c>
      <c r="E21" s="139"/>
      <c r="F21" s="139"/>
      <c r="G21" s="139"/>
      <c r="H21" s="142">
        <f t="shared" si="0"/>
        <v>0</v>
      </c>
      <c r="I21" s="139"/>
      <c r="J21" s="10">
        <f t="shared" si="2"/>
        <v>0</v>
      </c>
      <c r="K21" s="198">
        <f t="shared" si="1"/>
        <v>0</v>
      </c>
    </row>
    <row r="22" spans="1:11" x14ac:dyDescent="0.35">
      <c r="A22" s="47">
        <v>13</v>
      </c>
      <c r="B22" s="13" t="s">
        <v>92</v>
      </c>
      <c r="C22" s="2" t="s">
        <v>20</v>
      </c>
      <c r="D22" s="142">
        <v>2</v>
      </c>
      <c r="E22" s="139"/>
      <c r="F22" s="139"/>
      <c r="G22" s="139"/>
      <c r="H22" s="142">
        <f t="shared" si="0"/>
        <v>0</v>
      </c>
      <c r="I22" s="139"/>
      <c r="J22" s="10">
        <f t="shared" si="2"/>
        <v>0</v>
      </c>
      <c r="K22" s="198">
        <f t="shared" si="1"/>
        <v>0</v>
      </c>
    </row>
    <row r="23" spans="1:11" ht="27" x14ac:dyDescent="0.35">
      <c r="A23" s="47">
        <v>14</v>
      </c>
      <c r="B23" s="222" t="s">
        <v>93</v>
      </c>
      <c r="C23" s="2" t="s">
        <v>13</v>
      </c>
      <c r="D23" s="139">
        <f>116*1.05</f>
        <v>121.80000000000001</v>
      </c>
      <c r="E23" s="139"/>
      <c r="F23" s="139"/>
      <c r="G23" s="139"/>
      <c r="H23" s="142">
        <f t="shared" si="0"/>
        <v>0</v>
      </c>
      <c r="I23" s="139"/>
      <c r="J23" s="10">
        <f t="shared" si="2"/>
        <v>0</v>
      </c>
      <c r="K23" s="198">
        <f t="shared" si="1"/>
        <v>0</v>
      </c>
    </row>
    <row r="24" spans="1:11" x14ac:dyDescent="0.35">
      <c r="A24" s="47">
        <v>15</v>
      </c>
      <c r="B24" s="222" t="s">
        <v>94</v>
      </c>
      <c r="C24" s="2" t="s">
        <v>13</v>
      </c>
      <c r="D24" s="139">
        <v>17.2</v>
      </c>
      <c r="E24" s="139"/>
      <c r="F24" s="139"/>
      <c r="G24" s="139"/>
      <c r="H24" s="142">
        <f t="shared" si="0"/>
        <v>0</v>
      </c>
      <c r="I24" s="139"/>
      <c r="J24" s="10">
        <f t="shared" si="2"/>
        <v>0</v>
      </c>
      <c r="K24" s="198">
        <f t="shared" si="1"/>
        <v>0</v>
      </c>
    </row>
    <row r="25" spans="1:11" x14ac:dyDescent="0.35">
      <c r="A25" s="47">
        <v>16</v>
      </c>
      <c r="B25" s="222" t="s">
        <v>23</v>
      </c>
      <c r="C25" s="26" t="s">
        <v>24</v>
      </c>
      <c r="D25" s="139">
        <v>27</v>
      </c>
      <c r="E25" s="139"/>
      <c r="F25" s="139"/>
      <c r="G25" s="139"/>
      <c r="H25" s="142">
        <f t="shared" si="0"/>
        <v>0</v>
      </c>
      <c r="I25" s="139"/>
      <c r="J25" s="10">
        <f t="shared" si="2"/>
        <v>0</v>
      </c>
      <c r="K25" s="198">
        <f t="shared" si="1"/>
        <v>0</v>
      </c>
    </row>
    <row r="26" spans="1:11" ht="27" x14ac:dyDescent="0.35">
      <c r="A26" s="47">
        <v>17</v>
      </c>
      <c r="B26" s="227" t="s">
        <v>95</v>
      </c>
      <c r="C26" s="2" t="s">
        <v>13</v>
      </c>
      <c r="D26" s="139">
        <f>286*1.06</f>
        <v>303.16000000000003</v>
      </c>
      <c r="E26" s="139"/>
      <c r="F26" s="139"/>
      <c r="G26" s="139"/>
      <c r="H26" s="142">
        <f t="shared" si="0"/>
        <v>0</v>
      </c>
      <c r="I26" s="139"/>
      <c r="J26" s="10">
        <f t="shared" si="2"/>
        <v>0</v>
      </c>
      <c r="K26" s="198">
        <f t="shared" si="1"/>
        <v>0</v>
      </c>
    </row>
    <row r="27" spans="1:11" ht="27" x14ac:dyDescent="0.35">
      <c r="A27" s="47">
        <v>18</v>
      </c>
      <c r="B27" s="13" t="s">
        <v>96</v>
      </c>
      <c r="C27" s="2" t="s">
        <v>13</v>
      </c>
      <c r="D27" s="139">
        <v>74</v>
      </c>
      <c r="E27" s="139"/>
      <c r="F27" s="139"/>
      <c r="G27" s="139"/>
      <c r="H27" s="142">
        <f t="shared" si="0"/>
        <v>0</v>
      </c>
      <c r="I27" s="139"/>
      <c r="J27" s="10">
        <f t="shared" si="2"/>
        <v>0</v>
      </c>
      <c r="K27" s="198">
        <f t="shared" si="1"/>
        <v>0</v>
      </c>
    </row>
    <row r="28" spans="1:11" x14ac:dyDescent="0.35">
      <c r="A28" s="47">
        <v>19</v>
      </c>
      <c r="B28" s="16" t="s">
        <v>28</v>
      </c>
      <c r="C28" s="2" t="s">
        <v>29</v>
      </c>
      <c r="D28" s="139">
        <v>11.2</v>
      </c>
      <c r="E28" s="139"/>
      <c r="F28" s="139"/>
      <c r="G28" s="139"/>
      <c r="H28" s="139">
        <f t="shared" si="0"/>
        <v>0</v>
      </c>
      <c r="I28" s="139"/>
      <c r="J28" s="10">
        <f t="shared" si="2"/>
        <v>0</v>
      </c>
      <c r="K28" s="199">
        <f t="shared" si="1"/>
        <v>0</v>
      </c>
    </row>
    <row r="29" spans="1:11" x14ac:dyDescent="0.35">
      <c r="A29" s="47">
        <v>20</v>
      </c>
      <c r="B29" s="16" t="s">
        <v>31</v>
      </c>
      <c r="C29" s="2" t="s">
        <v>32</v>
      </c>
      <c r="D29" s="139">
        <f>D28*1.8</f>
        <v>20.16</v>
      </c>
      <c r="E29" s="139"/>
      <c r="F29" s="139"/>
      <c r="G29" s="139"/>
      <c r="H29" s="139"/>
      <c r="I29" s="139"/>
      <c r="J29" s="10">
        <f t="shared" si="2"/>
        <v>0</v>
      </c>
      <c r="K29" s="199">
        <f t="shared" si="1"/>
        <v>0</v>
      </c>
    </row>
    <row r="30" spans="1:11" x14ac:dyDescent="0.35">
      <c r="A30" s="49"/>
      <c r="B30" s="44" t="s">
        <v>33</v>
      </c>
      <c r="C30" s="43"/>
      <c r="D30" s="46"/>
      <c r="E30" s="46"/>
      <c r="F30" s="46"/>
      <c r="G30" s="46"/>
      <c r="H30" s="46"/>
      <c r="I30" s="46"/>
      <c r="J30" s="258"/>
      <c r="K30" s="260"/>
    </row>
    <row r="31" spans="1:11" x14ac:dyDescent="0.35">
      <c r="A31" s="153"/>
      <c r="B31" s="228" t="s">
        <v>97</v>
      </c>
      <c r="C31" s="2"/>
      <c r="D31" s="142"/>
      <c r="E31" s="139"/>
      <c r="F31" s="139"/>
      <c r="G31" s="139"/>
      <c r="H31" s="139"/>
      <c r="I31" s="139"/>
      <c r="J31" s="10"/>
      <c r="K31" s="199"/>
    </row>
    <row r="32" spans="1:11" ht="27" x14ac:dyDescent="0.35">
      <c r="A32" s="358">
        <v>1</v>
      </c>
      <c r="B32" s="229" t="s">
        <v>98</v>
      </c>
      <c r="C32" s="18" t="s">
        <v>13</v>
      </c>
      <c r="D32" s="230">
        <f>D25</f>
        <v>27</v>
      </c>
      <c r="E32" s="68"/>
      <c r="F32" s="142"/>
      <c r="G32" s="142"/>
      <c r="H32" s="142">
        <f t="shared" ref="H32:H49" si="3">G32*D32</f>
        <v>0</v>
      </c>
      <c r="I32" s="142"/>
      <c r="J32" s="10">
        <f t="shared" ref="J32:J49" si="4">I32*D32</f>
        <v>0</v>
      </c>
      <c r="K32" s="198">
        <f t="shared" ref="K32:K49" si="5">J32+H32+F32</f>
        <v>0</v>
      </c>
    </row>
    <row r="33" spans="1:11" x14ac:dyDescent="0.35">
      <c r="A33" s="359"/>
      <c r="B33" s="69" t="s">
        <v>370</v>
      </c>
      <c r="C33" s="2" t="s">
        <v>29</v>
      </c>
      <c r="D33" s="142">
        <f>0.062*D32</f>
        <v>1.6739999999999999</v>
      </c>
      <c r="E33" s="142"/>
      <c r="F33" s="142">
        <f t="shared" ref="F33:F49" si="6">E33*D33</f>
        <v>0</v>
      </c>
      <c r="G33" s="142"/>
      <c r="H33" s="142">
        <f t="shared" si="3"/>
        <v>0</v>
      </c>
      <c r="I33" s="142"/>
      <c r="J33" s="10">
        <f t="shared" si="4"/>
        <v>0</v>
      </c>
      <c r="K33" s="198">
        <f t="shared" si="5"/>
        <v>0</v>
      </c>
    </row>
    <row r="34" spans="1:11" x14ac:dyDescent="0.35">
      <c r="A34" s="359"/>
      <c r="B34" s="69" t="s">
        <v>371</v>
      </c>
      <c r="C34" s="2" t="s">
        <v>32</v>
      </c>
      <c r="D34" s="142">
        <f>0.0155*D32</f>
        <v>0.41849999999999998</v>
      </c>
      <c r="E34" s="142"/>
      <c r="F34" s="142">
        <f t="shared" si="6"/>
        <v>0</v>
      </c>
      <c r="G34" s="142"/>
      <c r="H34" s="142">
        <f t="shared" si="3"/>
        <v>0</v>
      </c>
      <c r="I34" s="142"/>
      <c r="J34" s="10">
        <f t="shared" si="4"/>
        <v>0</v>
      </c>
      <c r="K34" s="198">
        <f t="shared" si="5"/>
        <v>0</v>
      </c>
    </row>
    <row r="35" spans="1:11" x14ac:dyDescent="0.35">
      <c r="A35" s="360"/>
      <c r="B35" s="13" t="s">
        <v>38</v>
      </c>
      <c r="C35" s="2" t="s">
        <v>1</v>
      </c>
      <c r="D35" s="142">
        <f>D32*0.03</f>
        <v>0.80999999999999994</v>
      </c>
      <c r="E35" s="142"/>
      <c r="F35" s="142">
        <f t="shared" si="6"/>
        <v>0</v>
      </c>
      <c r="G35" s="142"/>
      <c r="H35" s="142">
        <f t="shared" si="3"/>
        <v>0</v>
      </c>
      <c r="I35" s="142"/>
      <c r="J35" s="10">
        <f t="shared" si="4"/>
        <v>0</v>
      </c>
      <c r="K35" s="198">
        <f t="shared" si="5"/>
        <v>0</v>
      </c>
    </row>
    <row r="36" spans="1:11" ht="27" x14ac:dyDescent="0.35">
      <c r="A36" s="358" t="s">
        <v>14</v>
      </c>
      <c r="B36" s="231" t="s">
        <v>99</v>
      </c>
      <c r="C36" s="18" t="s">
        <v>13</v>
      </c>
      <c r="D36" s="230">
        <v>81</v>
      </c>
      <c r="E36" s="68"/>
      <c r="F36" s="142">
        <f t="shared" si="6"/>
        <v>0</v>
      </c>
      <c r="G36" s="142"/>
      <c r="H36" s="142">
        <f t="shared" si="3"/>
        <v>0</v>
      </c>
      <c r="I36" s="142"/>
      <c r="J36" s="10">
        <f t="shared" si="4"/>
        <v>0</v>
      </c>
      <c r="K36" s="198">
        <f t="shared" si="5"/>
        <v>0</v>
      </c>
    </row>
    <row r="37" spans="1:11" x14ac:dyDescent="0.35">
      <c r="A37" s="359"/>
      <c r="B37" s="25" t="s">
        <v>369</v>
      </c>
      <c r="C37" s="2" t="s">
        <v>40</v>
      </c>
      <c r="D37" s="142">
        <f>5*D36</f>
        <v>405</v>
      </c>
      <c r="E37" s="142"/>
      <c r="F37" s="142">
        <f t="shared" si="6"/>
        <v>0</v>
      </c>
      <c r="G37" s="142"/>
      <c r="H37" s="142">
        <f t="shared" si="3"/>
        <v>0</v>
      </c>
      <c r="I37" s="142"/>
      <c r="J37" s="10">
        <f t="shared" si="4"/>
        <v>0</v>
      </c>
      <c r="K37" s="198">
        <f t="shared" si="5"/>
        <v>0</v>
      </c>
    </row>
    <row r="38" spans="1:11" x14ac:dyDescent="0.35">
      <c r="A38" s="360"/>
      <c r="B38" s="13" t="s">
        <v>38</v>
      </c>
      <c r="C38" s="2" t="s">
        <v>1</v>
      </c>
      <c r="D38" s="142">
        <f>D36*0.015</f>
        <v>1.2149999999999999</v>
      </c>
      <c r="E38" s="142"/>
      <c r="F38" s="142">
        <f t="shared" si="6"/>
        <v>0</v>
      </c>
      <c r="G38" s="142"/>
      <c r="H38" s="142">
        <f t="shared" si="3"/>
        <v>0</v>
      </c>
      <c r="I38" s="142"/>
      <c r="J38" s="10">
        <f t="shared" si="4"/>
        <v>0</v>
      </c>
      <c r="K38" s="198">
        <f t="shared" si="5"/>
        <v>0</v>
      </c>
    </row>
    <row r="39" spans="1:11" ht="40.5" x14ac:dyDescent="0.35">
      <c r="A39" s="358" t="s">
        <v>17</v>
      </c>
      <c r="B39" s="229" t="s">
        <v>100</v>
      </c>
      <c r="C39" s="18" t="s">
        <v>13</v>
      </c>
      <c r="D39" s="230">
        <f>D36*1.06</f>
        <v>85.86</v>
      </c>
      <c r="E39" s="68"/>
      <c r="F39" s="142">
        <f t="shared" si="6"/>
        <v>0</v>
      </c>
      <c r="G39" s="142"/>
      <c r="H39" s="142">
        <f t="shared" si="3"/>
        <v>0</v>
      </c>
      <c r="I39" s="142"/>
      <c r="J39" s="10">
        <f t="shared" si="4"/>
        <v>0</v>
      </c>
      <c r="K39" s="198">
        <f t="shared" si="5"/>
        <v>0</v>
      </c>
    </row>
    <row r="40" spans="1:11" x14ac:dyDescent="0.35">
      <c r="A40" s="359"/>
      <c r="B40" s="69" t="s">
        <v>101</v>
      </c>
      <c r="C40" s="2" t="s">
        <v>13</v>
      </c>
      <c r="D40" s="142">
        <f>1.02*D39</f>
        <v>87.577200000000005</v>
      </c>
      <c r="E40" s="142"/>
      <c r="F40" s="142">
        <f t="shared" si="6"/>
        <v>0</v>
      </c>
      <c r="G40" s="142"/>
      <c r="H40" s="142">
        <f t="shared" si="3"/>
        <v>0</v>
      </c>
      <c r="I40" s="142"/>
      <c r="J40" s="10">
        <f t="shared" si="4"/>
        <v>0</v>
      </c>
      <c r="K40" s="198">
        <f t="shared" si="5"/>
        <v>0</v>
      </c>
    </row>
    <row r="41" spans="1:11" x14ac:dyDescent="0.35">
      <c r="A41" s="359"/>
      <c r="B41" s="13" t="s">
        <v>102</v>
      </c>
      <c r="C41" s="2" t="s">
        <v>40</v>
      </c>
      <c r="D41" s="142">
        <f>0.4*D39</f>
        <v>34.344000000000001</v>
      </c>
      <c r="E41" s="142"/>
      <c r="F41" s="142">
        <f t="shared" si="6"/>
        <v>0</v>
      </c>
      <c r="G41" s="142"/>
      <c r="H41" s="142">
        <f t="shared" si="3"/>
        <v>0</v>
      </c>
      <c r="I41" s="142"/>
      <c r="J41" s="10">
        <f t="shared" si="4"/>
        <v>0</v>
      </c>
      <c r="K41" s="198">
        <f t="shared" si="5"/>
        <v>0</v>
      </c>
    </row>
    <row r="42" spans="1:11" x14ac:dyDescent="0.35">
      <c r="A42" s="359"/>
      <c r="B42" s="13" t="s">
        <v>103</v>
      </c>
      <c r="C42" s="2" t="s">
        <v>40</v>
      </c>
      <c r="D42" s="142">
        <f>0.3*D39</f>
        <v>25.757999999999999</v>
      </c>
      <c r="E42" s="142"/>
      <c r="F42" s="142">
        <f t="shared" si="6"/>
        <v>0</v>
      </c>
      <c r="G42" s="142"/>
      <c r="H42" s="142">
        <f t="shared" si="3"/>
        <v>0</v>
      </c>
      <c r="I42" s="142"/>
      <c r="J42" s="10">
        <f t="shared" si="4"/>
        <v>0</v>
      </c>
      <c r="K42" s="198">
        <f t="shared" si="5"/>
        <v>0</v>
      </c>
    </row>
    <row r="43" spans="1:11" x14ac:dyDescent="0.35">
      <c r="A43" s="360"/>
      <c r="B43" s="13" t="s">
        <v>38</v>
      </c>
      <c r="C43" s="2" t="s">
        <v>1</v>
      </c>
      <c r="D43" s="142">
        <f>D39*0.02</f>
        <v>1.7172000000000001</v>
      </c>
      <c r="E43" s="142"/>
      <c r="F43" s="142">
        <f t="shared" si="6"/>
        <v>0</v>
      </c>
      <c r="G43" s="142"/>
      <c r="H43" s="142">
        <f t="shared" si="3"/>
        <v>0</v>
      </c>
      <c r="I43" s="142"/>
      <c r="J43" s="10">
        <f t="shared" si="4"/>
        <v>0</v>
      </c>
      <c r="K43" s="198">
        <f t="shared" si="5"/>
        <v>0</v>
      </c>
    </row>
    <row r="44" spans="1:11" ht="27" x14ac:dyDescent="0.35">
      <c r="A44" s="70" t="s">
        <v>104</v>
      </c>
      <c r="B44" s="17" t="s">
        <v>105</v>
      </c>
      <c r="C44" s="18" t="s">
        <v>13</v>
      </c>
      <c r="D44" s="230">
        <v>17.2</v>
      </c>
      <c r="E44" s="68"/>
      <c r="F44" s="142">
        <f t="shared" si="6"/>
        <v>0</v>
      </c>
      <c r="G44" s="142"/>
      <c r="H44" s="142">
        <f t="shared" si="3"/>
        <v>0</v>
      </c>
      <c r="I44" s="142"/>
      <c r="J44" s="10">
        <f t="shared" si="4"/>
        <v>0</v>
      </c>
      <c r="K44" s="198">
        <f t="shared" si="5"/>
        <v>0</v>
      </c>
    </row>
    <row r="45" spans="1:11" ht="27" x14ac:dyDescent="0.35">
      <c r="A45" s="353" t="s">
        <v>106</v>
      </c>
      <c r="B45" s="17" t="s">
        <v>107</v>
      </c>
      <c r="C45" s="18" t="s">
        <v>13</v>
      </c>
      <c r="D45" s="230">
        <v>17.2</v>
      </c>
      <c r="E45" s="68"/>
      <c r="F45" s="142">
        <f t="shared" si="6"/>
        <v>0</v>
      </c>
      <c r="G45" s="142"/>
      <c r="H45" s="142">
        <f t="shared" si="3"/>
        <v>0</v>
      </c>
      <c r="I45" s="142"/>
      <c r="J45" s="10">
        <f t="shared" si="4"/>
        <v>0</v>
      </c>
      <c r="K45" s="198">
        <f t="shared" si="5"/>
        <v>0</v>
      </c>
    </row>
    <row r="46" spans="1:11" x14ac:dyDescent="0.35">
      <c r="A46" s="354"/>
      <c r="B46" s="13" t="s">
        <v>108</v>
      </c>
      <c r="C46" s="2" t="s">
        <v>13</v>
      </c>
      <c r="D46" s="142">
        <f>1.05*D45</f>
        <v>18.059999999999999</v>
      </c>
      <c r="E46" s="142"/>
      <c r="F46" s="142">
        <f t="shared" si="6"/>
        <v>0</v>
      </c>
      <c r="G46" s="142"/>
      <c r="H46" s="142">
        <f t="shared" si="3"/>
        <v>0</v>
      </c>
      <c r="I46" s="142"/>
      <c r="J46" s="10">
        <f t="shared" si="4"/>
        <v>0</v>
      </c>
      <c r="K46" s="198">
        <f t="shared" si="5"/>
        <v>0</v>
      </c>
    </row>
    <row r="47" spans="1:11" x14ac:dyDescent="0.35">
      <c r="A47" s="354"/>
      <c r="B47" s="13" t="s">
        <v>109</v>
      </c>
      <c r="C47" s="2" t="s">
        <v>40</v>
      </c>
      <c r="D47" s="142">
        <f>6*D45</f>
        <v>103.19999999999999</v>
      </c>
      <c r="E47" s="142"/>
      <c r="F47" s="142">
        <f t="shared" si="6"/>
        <v>0</v>
      </c>
      <c r="G47" s="142"/>
      <c r="H47" s="142">
        <f t="shared" si="3"/>
        <v>0</v>
      </c>
      <c r="I47" s="142"/>
      <c r="J47" s="10">
        <f t="shared" si="4"/>
        <v>0</v>
      </c>
      <c r="K47" s="198">
        <f t="shared" si="5"/>
        <v>0</v>
      </c>
    </row>
    <row r="48" spans="1:11" x14ac:dyDescent="0.35">
      <c r="A48" s="354"/>
      <c r="B48" s="13" t="s">
        <v>110</v>
      </c>
      <c r="C48" s="2" t="s">
        <v>40</v>
      </c>
      <c r="D48" s="142">
        <f>0.04*D45</f>
        <v>0.68799999999999994</v>
      </c>
      <c r="E48" s="142"/>
      <c r="F48" s="142">
        <f t="shared" si="6"/>
        <v>0</v>
      </c>
      <c r="G48" s="142"/>
      <c r="H48" s="142">
        <f t="shared" si="3"/>
        <v>0</v>
      </c>
      <c r="I48" s="142"/>
      <c r="J48" s="10">
        <f t="shared" si="4"/>
        <v>0</v>
      </c>
      <c r="K48" s="198">
        <f t="shared" si="5"/>
        <v>0</v>
      </c>
    </row>
    <row r="49" spans="1:11" x14ac:dyDescent="0.35">
      <c r="A49" s="355"/>
      <c r="B49" s="13" t="s">
        <v>38</v>
      </c>
      <c r="C49" s="2" t="s">
        <v>1</v>
      </c>
      <c r="D49" s="142">
        <f>(D45)*0.3</f>
        <v>5.1599999999999993</v>
      </c>
      <c r="E49" s="142"/>
      <c r="F49" s="142">
        <f t="shared" si="6"/>
        <v>0</v>
      </c>
      <c r="G49" s="142"/>
      <c r="H49" s="142">
        <f t="shared" si="3"/>
        <v>0</v>
      </c>
      <c r="I49" s="142"/>
      <c r="J49" s="10">
        <f t="shared" si="4"/>
        <v>0</v>
      </c>
      <c r="K49" s="198">
        <f t="shared" si="5"/>
        <v>0</v>
      </c>
    </row>
    <row r="50" spans="1:11" x14ac:dyDescent="0.35">
      <c r="A50" s="50"/>
      <c r="B50" s="51" t="s">
        <v>111</v>
      </c>
      <c r="C50" s="43"/>
      <c r="D50" s="48"/>
      <c r="E50" s="48"/>
      <c r="F50" s="48"/>
      <c r="G50" s="48"/>
      <c r="H50" s="48"/>
      <c r="I50" s="48"/>
      <c r="J50" s="48"/>
      <c r="K50" s="259"/>
    </row>
    <row r="51" spans="1:11" ht="40.5" x14ac:dyDescent="0.35">
      <c r="A51" s="353" t="s">
        <v>78</v>
      </c>
      <c r="B51" s="17" t="s">
        <v>470</v>
      </c>
      <c r="C51" s="18" t="s">
        <v>13</v>
      </c>
      <c r="D51" s="230">
        <v>892</v>
      </c>
      <c r="E51" s="142"/>
      <c r="F51" s="142"/>
      <c r="G51" s="142"/>
      <c r="H51" s="142">
        <f>G51*D51</f>
        <v>0</v>
      </c>
      <c r="I51" s="142"/>
      <c r="J51" s="142">
        <f>I51*D51</f>
        <v>0</v>
      </c>
      <c r="K51" s="198">
        <f t="shared" ref="K51:K76" si="7">J51+H51+F51</f>
        <v>0</v>
      </c>
    </row>
    <row r="52" spans="1:11" x14ac:dyDescent="0.35">
      <c r="A52" s="354"/>
      <c r="B52" s="13" t="s">
        <v>112</v>
      </c>
      <c r="C52" s="2" t="s">
        <v>40</v>
      </c>
      <c r="D52" s="142">
        <f>0.35*D51</f>
        <v>312.2</v>
      </c>
      <c r="E52" s="142"/>
      <c r="F52" s="142">
        <f t="shared" ref="F52:F59" si="8">E52*D52</f>
        <v>0</v>
      </c>
      <c r="G52" s="142"/>
      <c r="H52" s="142"/>
      <c r="I52" s="142"/>
      <c r="J52" s="142"/>
      <c r="K52" s="198">
        <f t="shared" si="7"/>
        <v>0</v>
      </c>
    </row>
    <row r="53" spans="1:11" x14ac:dyDescent="0.35">
      <c r="A53" s="354"/>
      <c r="B53" s="13" t="s">
        <v>113</v>
      </c>
      <c r="C53" s="2" t="s">
        <v>40</v>
      </c>
      <c r="D53" s="142">
        <f>0.4*D51</f>
        <v>356.8</v>
      </c>
      <c r="E53" s="142"/>
      <c r="F53" s="142">
        <f t="shared" si="8"/>
        <v>0</v>
      </c>
      <c r="G53" s="142"/>
      <c r="H53" s="142"/>
      <c r="I53" s="142"/>
      <c r="J53" s="142"/>
      <c r="K53" s="198">
        <f t="shared" si="7"/>
        <v>0</v>
      </c>
    </row>
    <row r="54" spans="1:11" x14ac:dyDescent="0.35">
      <c r="A54" s="354"/>
      <c r="B54" s="13" t="s">
        <v>114</v>
      </c>
      <c r="C54" s="2" t="s">
        <v>40</v>
      </c>
      <c r="D54" s="142">
        <f>0.15*D51</f>
        <v>133.79999999999998</v>
      </c>
      <c r="E54" s="142"/>
      <c r="F54" s="142">
        <f t="shared" si="8"/>
        <v>0</v>
      </c>
      <c r="G54" s="142"/>
      <c r="H54" s="142"/>
      <c r="I54" s="142"/>
      <c r="J54" s="142"/>
      <c r="K54" s="198">
        <f t="shared" si="7"/>
        <v>0</v>
      </c>
    </row>
    <row r="55" spans="1:11" x14ac:dyDescent="0.35">
      <c r="A55" s="354"/>
      <c r="B55" s="13" t="s">
        <v>115</v>
      </c>
      <c r="C55" s="2" t="s">
        <v>40</v>
      </c>
      <c r="D55" s="142">
        <f>0.08*D51</f>
        <v>71.36</v>
      </c>
      <c r="E55" s="142"/>
      <c r="F55" s="142">
        <f t="shared" si="8"/>
        <v>0</v>
      </c>
      <c r="G55" s="142"/>
      <c r="H55" s="142"/>
      <c r="I55" s="142"/>
      <c r="J55" s="142"/>
      <c r="K55" s="198">
        <f t="shared" si="7"/>
        <v>0</v>
      </c>
    </row>
    <row r="56" spans="1:11" x14ac:dyDescent="0.35">
      <c r="A56" s="354"/>
      <c r="B56" s="13" t="s">
        <v>116</v>
      </c>
      <c r="C56" s="2" t="s">
        <v>13</v>
      </c>
      <c r="D56" s="142">
        <f>0.009*D51</f>
        <v>8.0279999999999987</v>
      </c>
      <c r="E56" s="142"/>
      <c r="F56" s="142">
        <f t="shared" si="8"/>
        <v>0</v>
      </c>
      <c r="G56" s="142"/>
      <c r="H56" s="142"/>
      <c r="I56" s="142"/>
      <c r="J56" s="142"/>
      <c r="K56" s="198">
        <f t="shared" si="7"/>
        <v>0</v>
      </c>
    </row>
    <row r="57" spans="1:11" x14ac:dyDescent="0.35">
      <c r="A57" s="354"/>
      <c r="B57" s="13" t="s">
        <v>117</v>
      </c>
      <c r="C57" s="2" t="s">
        <v>22</v>
      </c>
      <c r="D57" s="142">
        <f>0.4*D51</f>
        <v>356.8</v>
      </c>
      <c r="E57" s="142"/>
      <c r="F57" s="142">
        <f t="shared" si="8"/>
        <v>0</v>
      </c>
      <c r="G57" s="142"/>
      <c r="H57" s="142"/>
      <c r="I57" s="142"/>
      <c r="J57" s="142"/>
      <c r="K57" s="198">
        <f t="shared" si="7"/>
        <v>0</v>
      </c>
    </row>
    <row r="58" spans="1:11" x14ac:dyDescent="0.35">
      <c r="A58" s="354"/>
      <c r="B58" s="13" t="s">
        <v>118</v>
      </c>
      <c r="C58" s="2" t="s">
        <v>22</v>
      </c>
      <c r="D58" s="142">
        <f>0.3*D51</f>
        <v>267.59999999999997</v>
      </c>
      <c r="E58" s="142"/>
      <c r="F58" s="142">
        <f t="shared" si="8"/>
        <v>0</v>
      </c>
      <c r="G58" s="142"/>
      <c r="H58" s="142"/>
      <c r="I58" s="142"/>
      <c r="J58" s="142"/>
      <c r="K58" s="198">
        <f t="shared" si="7"/>
        <v>0</v>
      </c>
    </row>
    <row r="59" spans="1:11" x14ac:dyDescent="0.35">
      <c r="A59" s="355"/>
      <c r="B59" s="13" t="s">
        <v>38</v>
      </c>
      <c r="C59" s="2" t="s">
        <v>1</v>
      </c>
      <c r="D59" s="142">
        <f>D51*0.02</f>
        <v>17.84</v>
      </c>
      <c r="E59" s="142"/>
      <c r="F59" s="142">
        <f t="shared" si="8"/>
        <v>0</v>
      </c>
      <c r="G59" s="142"/>
      <c r="H59" s="142"/>
      <c r="I59" s="142"/>
      <c r="J59" s="142"/>
      <c r="K59" s="198">
        <f t="shared" si="7"/>
        <v>0</v>
      </c>
    </row>
    <row r="60" spans="1:11" ht="40.5" x14ac:dyDescent="0.35">
      <c r="A60" s="354" t="s">
        <v>25</v>
      </c>
      <c r="B60" s="17" t="s">
        <v>42</v>
      </c>
      <c r="C60" s="18" t="s">
        <v>13</v>
      </c>
      <c r="D60" s="232">
        <v>42</v>
      </c>
      <c r="E60" s="139"/>
      <c r="F60" s="139"/>
      <c r="G60" s="139"/>
      <c r="H60" s="139">
        <f>G60*D60</f>
        <v>0</v>
      </c>
      <c r="I60" s="139"/>
      <c r="J60" s="21">
        <f>I60*D60</f>
        <v>0</v>
      </c>
      <c r="K60" s="198">
        <f t="shared" si="7"/>
        <v>0</v>
      </c>
    </row>
    <row r="61" spans="1:11" x14ac:dyDescent="0.35">
      <c r="A61" s="354"/>
      <c r="B61" s="13" t="s">
        <v>119</v>
      </c>
      <c r="C61" s="2" t="s">
        <v>40</v>
      </c>
      <c r="D61" s="142">
        <f>0.4*D60</f>
        <v>16.8</v>
      </c>
      <c r="E61" s="142"/>
      <c r="F61" s="142">
        <f>E61*D61</f>
        <v>0</v>
      </c>
      <c r="G61" s="142"/>
      <c r="H61" s="142"/>
      <c r="I61" s="142"/>
      <c r="J61" s="142"/>
      <c r="K61" s="198">
        <f t="shared" si="7"/>
        <v>0</v>
      </c>
    </row>
    <row r="62" spans="1:11" x14ac:dyDescent="0.35">
      <c r="A62" s="354"/>
      <c r="B62" s="13" t="s">
        <v>120</v>
      </c>
      <c r="C62" s="2" t="s">
        <v>40</v>
      </c>
      <c r="D62" s="142">
        <f>0.08*D60</f>
        <v>3.36</v>
      </c>
      <c r="E62" s="142"/>
      <c r="F62" s="142">
        <f>E62*D62</f>
        <v>0</v>
      </c>
      <c r="G62" s="142"/>
      <c r="H62" s="142"/>
      <c r="I62" s="142"/>
      <c r="J62" s="142"/>
      <c r="K62" s="198">
        <f t="shared" si="7"/>
        <v>0</v>
      </c>
    </row>
    <row r="63" spans="1:11" x14ac:dyDescent="0.35">
      <c r="A63" s="354"/>
      <c r="B63" s="13" t="s">
        <v>121</v>
      </c>
      <c r="C63" s="2" t="s">
        <v>13</v>
      </c>
      <c r="D63" s="142">
        <f>0.009*D60</f>
        <v>0.37799999999999995</v>
      </c>
      <c r="E63" s="142"/>
      <c r="F63" s="142">
        <f>E63*D63</f>
        <v>0</v>
      </c>
      <c r="G63" s="142"/>
      <c r="H63" s="142"/>
      <c r="I63" s="142"/>
      <c r="J63" s="142"/>
      <c r="K63" s="198">
        <f t="shared" si="7"/>
        <v>0</v>
      </c>
    </row>
    <row r="64" spans="1:11" x14ac:dyDescent="0.35">
      <c r="A64" s="354"/>
      <c r="B64" s="13" t="s">
        <v>38</v>
      </c>
      <c r="C64" s="2" t="s">
        <v>1</v>
      </c>
      <c r="D64" s="142">
        <f>D60*0.02</f>
        <v>0.84</v>
      </c>
      <c r="E64" s="142"/>
      <c r="F64" s="142">
        <f>E64*D64</f>
        <v>0</v>
      </c>
      <c r="G64" s="142"/>
      <c r="H64" s="142"/>
      <c r="I64" s="142"/>
      <c r="J64" s="142"/>
      <c r="K64" s="198">
        <f t="shared" si="7"/>
        <v>0</v>
      </c>
    </row>
    <row r="65" spans="1:11" x14ac:dyDescent="0.35">
      <c r="A65" s="353" t="s">
        <v>27</v>
      </c>
      <c r="B65" s="17" t="s">
        <v>52</v>
      </c>
      <c r="C65" s="18" t="s">
        <v>22</v>
      </c>
      <c r="D65" s="232">
        <v>34</v>
      </c>
      <c r="E65" s="232"/>
      <c r="F65" s="139"/>
      <c r="G65" s="139"/>
      <c r="H65" s="139">
        <f>G65*D65</f>
        <v>0</v>
      </c>
      <c r="I65" s="139"/>
      <c r="J65" s="21">
        <f>I65*D65</f>
        <v>0</v>
      </c>
      <c r="K65" s="198">
        <f t="shared" si="7"/>
        <v>0</v>
      </c>
    </row>
    <row r="66" spans="1:11" x14ac:dyDescent="0.35">
      <c r="A66" s="354"/>
      <c r="B66" s="13" t="s">
        <v>372</v>
      </c>
      <c r="C66" s="2" t="s">
        <v>22</v>
      </c>
      <c r="D66" s="139">
        <f>1.05*D65</f>
        <v>35.700000000000003</v>
      </c>
      <c r="E66" s="139"/>
      <c r="F66" s="139">
        <f t="shared" ref="F66:F76" si="9">E66*D66</f>
        <v>0</v>
      </c>
      <c r="G66" s="139"/>
      <c r="H66" s="139"/>
      <c r="I66" s="139"/>
      <c r="J66" s="21"/>
      <c r="K66" s="198">
        <f t="shared" si="7"/>
        <v>0</v>
      </c>
    </row>
    <row r="67" spans="1:11" x14ac:dyDescent="0.35">
      <c r="A67" s="355"/>
      <c r="B67" s="13" t="s">
        <v>38</v>
      </c>
      <c r="C67" s="2" t="s">
        <v>1</v>
      </c>
      <c r="D67" s="139">
        <f>D65*0.05</f>
        <v>1.7000000000000002</v>
      </c>
      <c r="E67" s="139"/>
      <c r="F67" s="139">
        <f t="shared" si="9"/>
        <v>0</v>
      </c>
      <c r="G67" s="139"/>
      <c r="H67" s="139"/>
      <c r="I67" s="139"/>
      <c r="J67" s="21"/>
      <c r="K67" s="198">
        <f t="shared" si="7"/>
        <v>0</v>
      </c>
    </row>
    <row r="68" spans="1:11" x14ac:dyDescent="0.35">
      <c r="A68" s="361" t="s">
        <v>30</v>
      </c>
      <c r="B68" s="17" t="s">
        <v>122</v>
      </c>
      <c r="C68" s="18" t="s">
        <v>13</v>
      </c>
      <c r="D68" s="230">
        <f>D27</f>
        <v>74</v>
      </c>
      <c r="E68" s="68"/>
      <c r="F68" s="142">
        <f t="shared" si="9"/>
        <v>0</v>
      </c>
      <c r="G68" s="142"/>
      <c r="H68" s="142">
        <f t="shared" ref="H68:H76" si="10">G68*D68</f>
        <v>0</v>
      </c>
      <c r="I68" s="142"/>
      <c r="J68" s="10">
        <f t="shared" ref="J68:J76" si="11">I68*D68</f>
        <v>0</v>
      </c>
      <c r="K68" s="198">
        <f t="shared" si="7"/>
        <v>0</v>
      </c>
    </row>
    <row r="69" spans="1:11" x14ac:dyDescent="0.35">
      <c r="A69" s="362"/>
      <c r="B69" s="13" t="s">
        <v>123</v>
      </c>
      <c r="C69" s="2" t="s">
        <v>29</v>
      </c>
      <c r="D69" s="142">
        <f>0.034*D68</f>
        <v>2.516</v>
      </c>
      <c r="E69" s="142"/>
      <c r="F69" s="142">
        <f t="shared" si="9"/>
        <v>0</v>
      </c>
      <c r="G69" s="142"/>
      <c r="H69" s="142">
        <f t="shared" si="10"/>
        <v>0</v>
      </c>
      <c r="I69" s="142"/>
      <c r="J69" s="10">
        <f t="shared" si="11"/>
        <v>0</v>
      </c>
      <c r="K69" s="198">
        <f t="shared" si="7"/>
        <v>0</v>
      </c>
    </row>
    <row r="70" spans="1:11" x14ac:dyDescent="0.35">
      <c r="A70" s="362"/>
      <c r="B70" s="13" t="s">
        <v>124</v>
      </c>
      <c r="C70" s="2" t="s">
        <v>32</v>
      </c>
      <c r="D70" s="142">
        <f>0.0114*D68</f>
        <v>0.84360000000000002</v>
      </c>
      <c r="E70" s="142"/>
      <c r="F70" s="142">
        <f t="shared" si="9"/>
        <v>0</v>
      </c>
      <c r="G70" s="142"/>
      <c r="H70" s="142">
        <f t="shared" si="10"/>
        <v>0</v>
      </c>
      <c r="I70" s="142"/>
      <c r="J70" s="10">
        <f t="shared" si="11"/>
        <v>0</v>
      </c>
      <c r="K70" s="198">
        <f t="shared" si="7"/>
        <v>0</v>
      </c>
    </row>
    <row r="71" spans="1:11" x14ac:dyDescent="0.35">
      <c r="A71" s="362"/>
      <c r="B71" s="13" t="s">
        <v>38</v>
      </c>
      <c r="C71" s="2" t="s">
        <v>1</v>
      </c>
      <c r="D71" s="142">
        <f>D68*0.1</f>
        <v>7.4</v>
      </c>
      <c r="E71" s="142"/>
      <c r="F71" s="142">
        <f t="shared" si="9"/>
        <v>0</v>
      </c>
      <c r="G71" s="142"/>
      <c r="H71" s="142">
        <f t="shared" si="10"/>
        <v>0</v>
      </c>
      <c r="I71" s="142"/>
      <c r="J71" s="10">
        <f t="shared" si="11"/>
        <v>0</v>
      </c>
      <c r="K71" s="198">
        <f t="shared" si="7"/>
        <v>0</v>
      </c>
    </row>
    <row r="72" spans="1:11" x14ac:dyDescent="0.35">
      <c r="A72" s="353" t="s">
        <v>35</v>
      </c>
      <c r="B72" s="17" t="s">
        <v>125</v>
      </c>
      <c r="C72" s="18" t="s">
        <v>13</v>
      </c>
      <c r="D72" s="230">
        <f>D68</f>
        <v>74</v>
      </c>
      <c r="E72" s="230"/>
      <c r="F72" s="142">
        <f t="shared" si="9"/>
        <v>0</v>
      </c>
      <c r="G72" s="142"/>
      <c r="H72" s="142">
        <f t="shared" si="10"/>
        <v>0</v>
      </c>
      <c r="I72" s="142"/>
      <c r="J72" s="10">
        <f t="shared" si="11"/>
        <v>0</v>
      </c>
      <c r="K72" s="198">
        <f t="shared" si="7"/>
        <v>0</v>
      </c>
    </row>
    <row r="73" spans="1:11" x14ac:dyDescent="0.35">
      <c r="A73" s="354"/>
      <c r="B73" s="13" t="s">
        <v>126</v>
      </c>
      <c r="C73" s="2" t="s">
        <v>13</v>
      </c>
      <c r="D73" s="142">
        <f>1.03*D72</f>
        <v>76.22</v>
      </c>
      <c r="E73" s="142"/>
      <c r="F73" s="142">
        <f t="shared" si="9"/>
        <v>0</v>
      </c>
      <c r="G73" s="142"/>
      <c r="H73" s="142">
        <f t="shared" si="10"/>
        <v>0</v>
      </c>
      <c r="I73" s="142"/>
      <c r="J73" s="10">
        <f t="shared" si="11"/>
        <v>0</v>
      </c>
      <c r="K73" s="198">
        <f t="shared" si="7"/>
        <v>0</v>
      </c>
    </row>
    <row r="74" spans="1:11" x14ac:dyDescent="0.35">
      <c r="A74" s="354"/>
      <c r="B74" s="13" t="s">
        <v>127</v>
      </c>
      <c r="C74" s="2" t="s">
        <v>40</v>
      </c>
      <c r="D74" s="142">
        <f>5*D72</f>
        <v>370</v>
      </c>
      <c r="E74" s="142"/>
      <c r="F74" s="142">
        <f t="shared" si="9"/>
        <v>0</v>
      </c>
      <c r="G74" s="142"/>
      <c r="H74" s="142">
        <f t="shared" si="10"/>
        <v>0</v>
      </c>
      <c r="I74" s="142"/>
      <c r="J74" s="10">
        <f t="shared" si="11"/>
        <v>0</v>
      </c>
      <c r="K74" s="198">
        <f t="shared" si="7"/>
        <v>0</v>
      </c>
    </row>
    <row r="75" spans="1:11" x14ac:dyDescent="0.35">
      <c r="A75" s="354"/>
      <c r="B75" s="13" t="s">
        <v>128</v>
      </c>
      <c r="C75" s="2" t="s">
        <v>40</v>
      </c>
      <c r="D75" s="142">
        <f>0.04*D72</f>
        <v>2.96</v>
      </c>
      <c r="E75" s="142"/>
      <c r="F75" s="142">
        <f t="shared" si="9"/>
        <v>0</v>
      </c>
      <c r="G75" s="142"/>
      <c r="H75" s="142">
        <f t="shared" si="10"/>
        <v>0</v>
      </c>
      <c r="I75" s="142"/>
      <c r="J75" s="10">
        <f t="shared" si="11"/>
        <v>0</v>
      </c>
      <c r="K75" s="198">
        <f t="shared" si="7"/>
        <v>0</v>
      </c>
    </row>
    <row r="76" spans="1:11" x14ac:dyDescent="0.35">
      <c r="A76" s="355"/>
      <c r="B76" s="13" t="s">
        <v>38</v>
      </c>
      <c r="C76" s="2" t="s">
        <v>1</v>
      </c>
      <c r="D76" s="142">
        <f>D72*0.05</f>
        <v>3.7</v>
      </c>
      <c r="E76" s="142"/>
      <c r="F76" s="142">
        <f t="shared" si="9"/>
        <v>0</v>
      </c>
      <c r="G76" s="142"/>
      <c r="H76" s="142">
        <f t="shared" si="10"/>
        <v>0</v>
      </c>
      <c r="I76" s="142"/>
      <c r="J76" s="10">
        <f t="shared" si="11"/>
        <v>0</v>
      </c>
      <c r="K76" s="198">
        <f t="shared" si="7"/>
        <v>0</v>
      </c>
    </row>
    <row r="77" spans="1:11" x14ac:dyDescent="0.35">
      <c r="A77" s="50"/>
      <c r="B77" s="51" t="s">
        <v>129</v>
      </c>
      <c r="C77" s="43"/>
      <c r="D77" s="48"/>
      <c r="E77" s="48"/>
      <c r="F77" s="48"/>
      <c r="G77" s="48"/>
      <c r="H77" s="48"/>
      <c r="I77" s="48"/>
      <c r="J77" s="258"/>
      <c r="K77" s="259"/>
    </row>
    <row r="78" spans="1:11" ht="40.5" x14ac:dyDescent="0.35">
      <c r="A78" s="166" t="s">
        <v>83</v>
      </c>
      <c r="B78" s="17" t="s">
        <v>130</v>
      </c>
      <c r="C78" s="18" t="s">
        <v>13</v>
      </c>
      <c r="D78" s="230">
        <f>D17</f>
        <v>49.507499999999986</v>
      </c>
      <c r="E78" s="142"/>
      <c r="F78" s="142">
        <f>E78*D78</f>
        <v>0</v>
      </c>
      <c r="G78" s="142"/>
      <c r="H78" s="142">
        <f>G78*D78</f>
        <v>0</v>
      </c>
      <c r="I78" s="142"/>
      <c r="J78" s="10">
        <f>I78*D78</f>
        <v>0</v>
      </c>
      <c r="K78" s="198">
        <f>J78+H78+F78</f>
        <v>0</v>
      </c>
    </row>
    <row r="79" spans="1:11" ht="27" x14ac:dyDescent="0.35">
      <c r="A79" s="166" t="s">
        <v>39</v>
      </c>
      <c r="B79" s="17" t="s">
        <v>131</v>
      </c>
      <c r="C79" s="18" t="s">
        <v>13</v>
      </c>
      <c r="D79" s="230">
        <f>D18</f>
        <v>12.299999999999999</v>
      </c>
      <c r="E79" s="142"/>
      <c r="F79" s="142">
        <f>E79*D79</f>
        <v>0</v>
      </c>
      <c r="G79" s="142"/>
      <c r="H79" s="142">
        <f>G79*D79</f>
        <v>0</v>
      </c>
      <c r="I79" s="142"/>
      <c r="J79" s="10">
        <f>I79*D79</f>
        <v>0</v>
      </c>
      <c r="K79" s="198">
        <f>J79+H79+F79</f>
        <v>0</v>
      </c>
    </row>
    <row r="80" spans="1:11" ht="40.5" x14ac:dyDescent="0.35">
      <c r="A80" s="166" t="s">
        <v>41</v>
      </c>
      <c r="B80" s="27" t="s">
        <v>79</v>
      </c>
      <c r="C80" s="28" t="s">
        <v>16</v>
      </c>
      <c r="D80" s="232">
        <v>22</v>
      </c>
      <c r="E80" s="139"/>
      <c r="F80" s="139">
        <f>E80*D80</f>
        <v>0</v>
      </c>
      <c r="G80" s="139"/>
      <c r="H80" s="142">
        <f>G80*D80</f>
        <v>0</v>
      </c>
      <c r="I80" s="139"/>
      <c r="J80" s="10">
        <f>I80*D80</f>
        <v>0</v>
      </c>
      <c r="K80" s="198">
        <f>J80+H80+F80</f>
        <v>0</v>
      </c>
    </row>
    <row r="81" spans="1:11" x14ac:dyDescent="0.35">
      <c r="A81" s="52"/>
      <c r="B81" s="51" t="s">
        <v>132</v>
      </c>
      <c r="C81" s="53"/>
      <c r="D81" s="54"/>
      <c r="E81" s="54"/>
      <c r="F81" s="54"/>
      <c r="G81" s="54"/>
      <c r="H81" s="54"/>
      <c r="I81" s="54"/>
      <c r="J81" s="54"/>
      <c r="K81" s="257"/>
    </row>
    <row r="82" spans="1:11" ht="27" x14ac:dyDescent="0.35">
      <c r="A82" s="353" t="s">
        <v>46</v>
      </c>
      <c r="B82" s="17" t="s">
        <v>133</v>
      </c>
      <c r="C82" s="18" t="s">
        <v>13</v>
      </c>
      <c r="D82" s="230">
        <f>D10</f>
        <v>77</v>
      </c>
      <c r="E82" s="142"/>
      <c r="F82" s="142"/>
      <c r="G82" s="142"/>
      <c r="H82" s="142">
        <f>G82*D82</f>
        <v>0</v>
      </c>
      <c r="I82" s="142"/>
      <c r="J82" s="142">
        <f>I82*D82</f>
        <v>0</v>
      </c>
      <c r="K82" s="198">
        <f t="shared" ref="K82:K95" si="12">J82+H82+F82</f>
        <v>0</v>
      </c>
    </row>
    <row r="83" spans="1:11" x14ac:dyDescent="0.35">
      <c r="A83" s="355"/>
      <c r="B83" s="13" t="s">
        <v>134</v>
      </c>
      <c r="C83" s="2" t="s">
        <v>13</v>
      </c>
      <c r="D83" s="142">
        <f>D82</f>
        <v>77</v>
      </c>
      <c r="E83" s="142"/>
      <c r="F83" s="142">
        <f t="shared" ref="F83:F95" si="13">E83*D83</f>
        <v>0</v>
      </c>
      <c r="G83" s="142"/>
      <c r="H83" s="142"/>
      <c r="I83" s="142"/>
      <c r="J83" s="142"/>
      <c r="K83" s="198">
        <f t="shared" si="12"/>
        <v>0</v>
      </c>
    </row>
    <row r="84" spans="1:11" x14ac:dyDescent="0.35">
      <c r="A84" s="353" t="s">
        <v>373</v>
      </c>
      <c r="B84" s="17" t="s">
        <v>82</v>
      </c>
      <c r="C84" s="18" t="s">
        <v>13</v>
      </c>
      <c r="D84" s="230">
        <f>D13</f>
        <v>17.2</v>
      </c>
      <c r="E84" s="142"/>
      <c r="F84" s="142">
        <f t="shared" si="13"/>
        <v>0</v>
      </c>
      <c r="G84" s="142"/>
      <c r="H84" s="142">
        <f t="shared" ref="H84:H95" si="14">G84*D84</f>
        <v>0</v>
      </c>
      <c r="I84" s="142"/>
      <c r="J84" s="10">
        <f t="shared" ref="J84:J93" si="15">I84*D84</f>
        <v>0</v>
      </c>
      <c r="K84" s="198">
        <f t="shared" si="12"/>
        <v>0</v>
      </c>
    </row>
    <row r="85" spans="1:11" ht="27" x14ac:dyDescent="0.35">
      <c r="A85" s="354"/>
      <c r="B85" s="13" t="s">
        <v>55</v>
      </c>
      <c r="C85" s="2" t="s">
        <v>13</v>
      </c>
      <c r="D85" s="142">
        <f>D84</f>
        <v>17.2</v>
      </c>
      <c r="E85" s="142"/>
      <c r="F85" s="142">
        <f t="shared" si="13"/>
        <v>0</v>
      </c>
      <c r="G85" s="142"/>
      <c r="H85" s="142">
        <f t="shared" si="14"/>
        <v>0</v>
      </c>
      <c r="I85" s="142"/>
      <c r="J85" s="10">
        <f t="shared" si="15"/>
        <v>0</v>
      </c>
      <c r="K85" s="198">
        <f t="shared" si="12"/>
        <v>0</v>
      </c>
    </row>
    <row r="86" spans="1:11" x14ac:dyDescent="0.35">
      <c r="A86" s="354"/>
      <c r="B86" s="13" t="s">
        <v>38</v>
      </c>
      <c r="C86" s="2" t="s">
        <v>1</v>
      </c>
      <c r="D86" s="142">
        <f>D84*0.03</f>
        <v>0.51600000000000001</v>
      </c>
      <c r="E86" s="142"/>
      <c r="F86" s="142">
        <f t="shared" si="13"/>
        <v>0</v>
      </c>
      <c r="G86" s="142"/>
      <c r="H86" s="142">
        <f t="shared" si="14"/>
        <v>0</v>
      </c>
      <c r="I86" s="142"/>
      <c r="J86" s="10">
        <f t="shared" si="15"/>
        <v>0</v>
      </c>
      <c r="K86" s="198">
        <f t="shared" si="12"/>
        <v>0</v>
      </c>
    </row>
    <row r="87" spans="1:11" ht="27" x14ac:dyDescent="0.35">
      <c r="A87" s="355"/>
      <c r="B87" s="13" t="s">
        <v>56</v>
      </c>
      <c r="C87" s="2" t="s">
        <v>13</v>
      </c>
      <c r="D87" s="142">
        <f>D84</f>
        <v>17.2</v>
      </c>
      <c r="E87" s="142"/>
      <c r="F87" s="142">
        <f t="shared" si="13"/>
        <v>0</v>
      </c>
      <c r="G87" s="142"/>
      <c r="H87" s="142">
        <f t="shared" si="14"/>
        <v>0</v>
      </c>
      <c r="I87" s="142"/>
      <c r="J87" s="10">
        <f t="shared" si="15"/>
        <v>0</v>
      </c>
      <c r="K87" s="198">
        <f t="shared" si="12"/>
        <v>0</v>
      </c>
    </row>
    <row r="88" spans="1:11" x14ac:dyDescent="0.35">
      <c r="A88" s="71"/>
      <c r="B88" s="51" t="s">
        <v>135</v>
      </c>
      <c r="C88" s="72"/>
      <c r="D88" s="73"/>
      <c r="E88" s="48"/>
      <c r="F88" s="48">
        <f t="shared" si="13"/>
        <v>0</v>
      </c>
      <c r="G88" s="48"/>
      <c r="H88" s="48">
        <f t="shared" si="14"/>
        <v>0</v>
      </c>
      <c r="I88" s="48"/>
      <c r="J88" s="258">
        <f t="shared" si="15"/>
        <v>0</v>
      </c>
      <c r="K88" s="259">
        <f t="shared" si="12"/>
        <v>0</v>
      </c>
    </row>
    <row r="89" spans="1:11" ht="27" x14ac:dyDescent="0.35">
      <c r="A89" s="70" t="s">
        <v>80</v>
      </c>
      <c r="B89" s="13" t="s">
        <v>57</v>
      </c>
      <c r="C89" s="2" t="s">
        <v>20</v>
      </c>
      <c r="D89" s="142">
        <f>D21</f>
        <v>17</v>
      </c>
      <c r="E89" s="142"/>
      <c r="F89" s="142">
        <f t="shared" si="13"/>
        <v>0</v>
      </c>
      <c r="G89" s="142"/>
      <c r="H89" s="142">
        <f t="shared" si="14"/>
        <v>0</v>
      </c>
      <c r="I89" s="142"/>
      <c r="J89" s="10">
        <f t="shared" si="15"/>
        <v>0</v>
      </c>
      <c r="K89" s="198">
        <f t="shared" si="12"/>
        <v>0</v>
      </c>
    </row>
    <row r="90" spans="1:11" x14ac:dyDescent="0.35">
      <c r="A90" s="70" t="s">
        <v>62</v>
      </c>
      <c r="B90" s="74" t="s">
        <v>367</v>
      </c>
      <c r="C90" s="2" t="s">
        <v>20</v>
      </c>
      <c r="D90" s="142">
        <f>D22</f>
        <v>2</v>
      </c>
      <c r="E90" s="142"/>
      <c r="F90" s="142">
        <f t="shared" si="13"/>
        <v>0</v>
      </c>
      <c r="G90" s="142"/>
      <c r="H90" s="142">
        <f t="shared" si="14"/>
        <v>0</v>
      </c>
      <c r="I90" s="142"/>
      <c r="J90" s="10">
        <f t="shared" si="15"/>
        <v>0</v>
      </c>
      <c r="K90" s="198">
        <f t="shared" si="12"/>
        <v>0</v>
      </c>
    </row>
    <row r="91" spans="1:11" x14ac:dyDescent="0.35">
      <c r="A91" s="55"/>
      <c r="B91" s="56" t="s">
        <v>139</v>
      </c>
      <c r="C91" s="57"/>
      <c r="D91" s="58"/>
      <c r="E91" s="46"/>
      <c r="F91" s="48">
        <f t="shared" si="13"/>
        <v>0</v>
      </c>
      <c r="G91" s="46"/>
      <c r="H91" s="48">
        <f t="shared" si="14"/>
        <v>0</v>
      </c>
      <c r="I91" s="46"/>
      <c r="J91" s="258">
        <f t="shared" si="15"/>
        <v>0</v>
      </c>
      <c r="K91" s="259">
        <f t="shared" si="12"/>
        <v>0</v>
      </c>
    </row>
    <row r="92" spans="1:11" x14ac:dyDescent="0.35">
      <c r="A92" s="11" t="s">
        <v>53</v>
      </c>
      <c r="B92" s="24" t="s">
        <v>59</v>
      </c>
      <c r="C92" s="2" t="s">
        <v>16</v>
      </c>
      <c r="D92" s="139">
        <f>D11</f>
        <v>48</v>
      </c>
      <c r="E92" s="139"/>
      <c r="F92" s="142">
        <f t="shared" si="13"/>
        <v>0</v>
      </c>
      <c r="G92" s="139"/>
      <c r="H92" s="142">
        <f t="shared" si="14"/>
        <v>0</v>
      </c>
      <c r="I92" s="139"/>
      <c r="J92" s="10">
        <f t="shared" si="15"/>
        <v>0</v>
      </c>
      <c r="K92" s="198">
        <f t="shared" si="12"/>
        <v>0</v>
      </c>
    </row>
    <row r="93" spans="1:11" ht="27" x14ac:dyDescent="0.35">
      <c r="A93" s="11" t="s">
        <v>171</v>
      </c>
      <c r="B93" s="25" t="s">
        <v>60</v>
      </c>
      <c r="C93" s="2" t="s">
        <v>16</v>
      </c>
      <c r="D93" s="139">
        <f>D12</f>
        <v>8</v>
      </c>
      <c r="E93" s="139"/>
      <c r="F93" s="142">
        <f t="shared" si="13"/>
        <v>0</v>
      </c>
      <c r="G93" s="139"/>
      <c r="H93" s="142">
        <f t="shared" si="14"/>
        <v>0</v>
      </c>
      <c r="I93" s="139"/>
      <c r="J93" s="10">
        <f t="shared" si="15"/>
        <v>0</v>
      </c>
      <c r="K93" s="198">
        <f t="shared" si="12"/>
        <v>0</v>
      </c>
    </row>
    <row r="94" spans="1:11" x14ac:dyDescent="0.35">
      <c r="A94" s="2">
        <v>20</v>
      </c>
      <c r="B94" s="25" t="s">
        <v>84</v>
      </c>
      <c r="C94" s="2" t="s">
        <v>85</v>
      </c>
      <c r="D94" s="142">
        <f>D15</f>
        <v>42</v>
      </c>
      <c r="E94" s="142"/>
      <c r="F94" s="59">
        <f t="shared" si="13"/>
        <v>0</v>
      </c>
      <c r="G94" s="142"/>
      <c r="H94" s="59">
        <f t="shared" si="14"/>
        <v>0</v>
      </c>
      <c r="I94" s="142"/>
      <c r="J94" s="59"/>
      <c r="K94" s="178">
        <f t="shared" si="12"/>
        <v>0</v>
      </c>
    </row>
    <row r="95" spans="1:11" x14ac:dyDescent="0.35">
      <c r="A95" s="2">
        <v>21</v>
      </c>
      <c r="B95" s="25" t="s">
        <v>86</v>
      </c>
      <c r="C95" s="2" t="s">
        <v>85</v>
      </c>
      <c r="D95" s="142">
        <f>D16</f>
        <v>25</v>
      </c>
      <c r="E95" s="142"/>
      <c r="F95" s="59">
        <f t="shared" si="13"/>
        <v>0</v>
      </c>
      <c r="G95" s="142"/>
      <c r="H95" s="59">
        <f t="shared" si="14"/>
        <v>0</v>
      </c>
      <c r="I95" s="142"/>
      <c r="J95" s="59">
        <f>I95*D95</f>
        <v>0</v>
      </c>
      <c r="K95" s="178">
        <f t="shared" si="12"/>
        <v>0</v>
      </c>
    </row>
    <row r="96" spans="1:11" x14ac:dyDescent="0.35">
      <c r="A96" s="60"/>
      <c r="B96" s="56" t="s">
        <v>140</v>
      </c>
      <c r="C96" s="61"/>
      <c r="D96" s="62"/>
      <c r="E96" s="46"/>
      <c r="F96" s="46"/>
      <c r="G96" s="46"/>
      <c r="H96" s="46"/>
      <c r="I96" s="46"/>
      <c r="J96" s="261"/>
      <c r="K96" s="260"/>
    </row>
    <row r="97" spans="1:11" ht="27" x14ac:dyDescent="0.35">
      <c r="A97" s="11" t="s">
        <v>66</v>
      </c>
      <c r="B97" s="16" t="s">
        <v>63</v>
      </c>
      <c r="C97" s="26" t="s">
        <v>16</v>
      </c>
      <c r="D97" s="139">
        <v>4</v>
      </c>
      <c r="E97" s="139"/>
      <c r="F97" s="139">
        <f>E97*D97</f>
        <v>0</v>
      </c>
      <c r="G97" s="139"/>
      <c r="H97" s="139">
        <f>G97*D97</f>
        <v>0</v>
      </c>
      <c r="I97" s="139"/>
      <c r="J97" s="21">
        <f>I97*D97</f>
        <v>0</v>
      </c>
      <c r="K97" s="199">
        <f t="shared" ref="K97" si="16">J97+H97+F97</f>
        <v>0</v>
      </c>
    </row>
    <row r="98" spans="1:11" x14ac:dyDescent="0.35">
      <c r="A98" s="233"/>
      <c r="B98" s="234" t="s">
        <v>87</v>
      </c>
      <c r="C98" s="28"/>
      <c r="D98" s="139"/>
      <c r="E98" s="139"/>
      <c r="F98" s="235">
        <f>SUM(F10:F97)</f>
        <v>0</v>
      </c>
      <c r="G98" s="236"/>
      <c r="H98" s="235">
        <f>SUM(H10:H97)</f>
        <v>0</v>
      </c>
      <c r="I98" s="235"/>
      <c r="J98" s="237">
        <f>SUM(J10:J97)</f>
        <v>0</v>
      </c>
      <c r="K98" s="249">
        <f>SUM(K10:K97)</f>
        <v>0</v>
      </c>
    </row>
    <row r="99" spans="1:11" x14ac:dyDescent="0.35">
      <c r="A99" s="30"/>
      <c r="B99" s="31" t="s">
        <v>67</v>
      </c>
      <c r="C99" s="32"/>
      <c r="D99" s="33"/>
      <c r="E99" s="33"/>
      <c r="F99" s="33"/>
      <c r="G99" s="33"/>
      <c r="H99" s="33"/>
      <c r="I99" s="33"/>
      <c r="J99" s="33"/>
      <c r="K99" s="250">
        <f>F98*C99</f>
        <v>0</v>
      </c>
    </row>
    <row r="100" spans="1:11" x14ac:dyDescent="0.35">
      <c r="A100" s="30"/>
      <c r="B100" s="35" t="s">
        <v>9</v>
      </c>
      <c r="C100" s="143"/>
      <c r="D100" s="33"/>
      <c r="E100" s="33"/>
      <c r="F100" s="33"/>
      <c r="G100" s="33"/>
      <c r="H100" s="33"/>
      <c r="I100" s="33"/>
      <c r="J100" s="33"/>
      <c r="K100" s="250">
        <f>SUM(K98:K99)</f>
        <v>0</v>
      </c>
    </row>
    <row r="101" spans="1:11" x14ac:dyDescent="0.35">
      <c r="A101" s="30"/>
      <c r="B101" s="31" t="s">
        <v>68</v>
      </c>
      <c r="C101" s="32"/>
      <c r="D101" s="33"/>
      <c r="E101" s="33"/>
      <c r="F101" s="33"/>
      <c r="G101" s="33"/>
      <c r="H101" s="33"/>
      <c r="I101" s="33"/>
      <c r="J101" s="33"/>
      <c r="K101" s="250">
        <f>K100*C101</f>
        <v>0</v>
      </c>
    </row>
    <row r="102" spans="1:11" x14ac:dyDescent="0.35">
      <c r="A102" s="30"/>
      <c r="B102" s="35" t="s">
        <v>9</v>
      </c>
      <c r="C102" s="143"/>
      <c r="D102" s="33"/>
      <c r="E102" s="33"/>
      <c r="F102" s="33"/>
      <c r="G102" s="33"/>
      <c r="H102" s="33"/>
      <c r="I102" s="33"/>
      <c r="J102" s="33"/>
      <c r="K102" s="250">
        <f>SUM(K100:K101)</f>
        <v>0</v>
      </c>
    </row>
    <row r="103" spans="1:11" x14ac:dyDescent="0.35">
      <c r="A103" s="30"/>
      <c r="B103" s="31" t="s">
        <v>69</v>
      </c>
      <c r="C103" s="32"/>
      <c r="D103" s="33"/>
      <c r="E103" s="33"/>
      <c r="F103" s="33"/>
      <c r="G103" s="33"/>
      <c r="H103" s="33"/>
      <c r="I103" s="33"/>
      <c r="J103" s="33"/>
      <c r="K103" s="250">
        <f>K102*C103</f>
        <v>0</v>
      </c>
    </row>
    <row r="104" spans="1:11" x14ac:dyDescent="0.35">
      <c r="A104" s="36"/>
      <c r="B104" s="35" t="s">
        <v>9</v>
      </c>
      <c r="C104" s="143"/>
      <c r="D104" s="33"/>
      <c r="E104" s="33"/>
      <c r="F104" s="33"/>
      <c r="G104" s="33"/>
      <c r="H104" s="33"/>
      <c r="I104" s="33"/>
      <c r="J104" s="33"/>
      <c r="K104" s="250">
        <f>SUM(K102:K103)</f>
        <v>0</v>
      </c>
    </row>
    <row r="105" spans="1:11" x14ac:dyDescent="0.35">
      <c r="A105" s="36"/>
      <c r="B105" s="31" t="s">
        <v>70</v>
      </c>
      <c r="C105" s="32"/>
      <c r="D105" s="33"/>
      <c r="E105" s="33"/>
      <c r="F105" s="33"/>
      <c r="G105" s="33"/>
      <c r="H105" s="33"/>
      <c r="I105" s="33"/>
      <c r="J105" s="33"/>
      <c r="K105" s="250">
        <f>K104*C105</f>
        <v>0</v>
      </c>
    </row>
    <row r="106" spans="1:11" x14ac:dyDescent="0.35">
      <c r="A106" s="36"/>
      <c r="B106" s="31" t="s">
        <v>71</v>
      </c>
      <c r="C106" s="32">
        <v>0.02</v>
      </c>
      <c r="D106" s="33"/>
      <c r="E106" s="33"/>
      <c r="F106" s="33"/>
      <c r="G106" s="33"/>
      <c r="H106" s="33"/>
      <c r="I106" s="33"/>
      <c r="J106" s="33"/>
      <c r="K106" s="250">
        <f>H98*C106</f>
        <v>0</v>
      </c>
    </row>
    <row r="107" spans="1:11" x14ac:dyDescent="0.35">
      <c r="A107" s="30"/>
      <c r="B107" s="38" t="s">
        <v>9</v>
      </c>
      <c r="C107" s="143"/>
      <c r="D107" s="33"/>
      <c r="E107" s="33"/>
      <c r="F107" s="33"/>
      <c r="G107" s="33"/>
      <c r="H107" s="33"/>
      <c r="I107" s="33"/>
      <c r="J107" s="33"/>
      <c r="K107" s="250">
        <f>SUM(K104:K106)</f>
        <v>0</v>
      </c>
    </row>
    <row r="108" spans="1:11" x14ac:dyDescent="0.35">
      <c r="A108" s="30"/>
      <c r="B108" s="29" t="s">
        <v>72</v>
      </c>
      <c r="C108" s="32">
        <v>0.18</v>
      </c>
      <c r="D108" s="33"/>
      <c r="E108" s="33"/>
      <c r="F108" s="33"/>
      <c r="G108" s="33"/>
      <c r="H108" s="33"/>
      <c r="I108" s="33"/>
      <c r="J108" s="33"/>
      <c r="K108" s="250">
        <f>K107*C108</f>
        <v>0</v>
      </c>
    </row>
    <row r="109" spans="1:11" x14ac:dyDescent="0.35">
      <c r="A109" s="39"/>
      <c r="B109" s="40" t="s">
        <v>342</v>
      </c>
      <c r="C109" s="41"/>
      <c r="D109" s="42"/>
      <c r="E109" s="42"/>
      <c r="F109" s="42"/>
      <c r="G109" s="42"/>
      <c r="H109" s="42"/>
      <c r="I109" s="42"/>
      <c r="J109" s="42"/>
      <c r="K109" s="181">
        <f>SUM(K107:K108)</f>
        <v>0</v>
      </c>
    </row>
    <row r="110" spans="1:11" ht="24.9" customHeight="1" x14ac:dyDescent="0.35">
      <c r="A110" s="68"/>
      <c r="B110" s="68"/>
      <c r="C110" s="68"/>
      <c r="D110" s="106"/>
      <c r="E110" s="68"/>
      <c r="F110" s="68"/>
      <c r="G110" s="68"/>
      <c r="H110" s="68"/>
      <c r="I110" s="68"/>
      <c r="J110" s="68"/>
      <c r="K110" s="182"/>
    </row>
    <row r="111" spans="1:11" ht="24.9" customHeight="1" x14ac:dyDescent="0.35">
      <c r="A111" s="363" t="s">
        <v>229</v>
      </c>
      <c r="B111" s="364"/>
      <c r="C111" s="364"/>
      <c r="D111" s="364"/>
      <c r="E111" s="364"/>
      <c r="F111" s="364"/>
      <c r="G111" s="364"/>
      <c r="H111" s="364"/>
      <c r="I111" s="364"/>
      <c r="J111" s="364"/>
      <c r="K111" s="365"/>
    </row>
    <row r="112" spans="1:11" x14ac:dyDescent="0.35">
      <c r="A112" s="343" t="s">
        <v>2</v>
      </c>
      <c r="B112" s="343" t="s">
        <v>3</v>
      </c>
      <c r="C112" s="343" t="s">
        <v>4</v>
      </c>
      <c r="D112" s="345" t="s">
        <v>5</v>
      </c>
      <c r="E112" s="347" t="s">
        <v>6</v>
      </c>
      <c r="F112" s="348"/>
      <c r="G112" s="349" t="s">
        <v>7</v>
      </c>
      <c r="H112" s="350"/>
      <c r="I112" s="351" t="s">
        <v>8</v>
      </c>
      <c r="J112" s="352"/>
      <c r="K112" s="366" t="s">
        <v>9</v>
      </c>
    </row>
    <row r="113" spans="1:11" ht="27" x14ac:dyDescent="0.35">
      <c r="A113" s="344"/>
      <c r="B113" s="344"/>
      <c r="C113" s="344"/>
      <c r="D113" s="346"/>
      <c r="E113" s="116" t="s">
        <v>10</v>
      </c>
      <c r="F113" s="140" t="s">
        <v>9</v>
      </c>
      <c r="G113" s="141" t="s">
        <v>10</v>
      </c>
      <c r="H113" s="140" t="s">
        <v>9</v>
      </c>
      <c r="I113" s="141" t="s">
        <v>10</v>
      </c>
      <c r="J113" s="140" t="s">
        <v>11</v>
      </c>
      <c r="K113" s="367"/>
    </row>
    <row r="114" spans="1:11" x14ac:dyDescent="0.35">
      <c r="A114" s="2">
        <v>1</v>
      </c>
      <c r="B114" s="2">
        <v>2</v>
      </c>
      <c r="C114" s="2">
        <v>3</v>
      </c>
      <c r="D114" s="3">
        <v>4</v>
      </c>
      <c r="E114" s="2">
        <v>5</v>
      </c>
      <c r="F114" s="2">
        <v>6</v>
      </c>
      <c r="G114" s="2">
        <v>7</v>
      </c>
      <c r="H114" s="2">
        <v>8</v>
      </c>
      <c r="I114" s="2">
        <v>9</v>
      </c>
      <c r="J114" s="4">
        <v>10</v>
      </c>
      <c r="K114" s="175">
        <v>11</v>
      </c>
    </row>
    <row r="115" spans="1:11" x14ac:dyDescent="0.35">
      <c r="A115" s="43"/>
      <c r="B115" s="44" t="s">
        <v>73</v>
      </c>
      <c r="C115" s="45"/>
      <c r="D115" s="46"/>
      <c r="E115" s="46"/>
      <c r="F115" s="46"/>
      <c r="G115" s="46"/>
      <c r="H115" s="46"/>
      <c r="I115" s="46"/>
      <c r="J115" s="261"/>
      <c r="K115" s="260"/>
    </row>
    <row r="116" spans="1:11" ht="27" x14ac:dyDescent="0.35">
      <c r="A116" s="47">
        <v>2</v>
      </c>
      <c r="B116" s="9" t="s">
        <v>15</v>
      </c>
      <c r="C116" s="2" t="s">
        <v>16</v>
      </c>
      <c r="D116" s="142">
        <v>30</v>
      </c>
      <c r="E116" s="142"/>
      <c r="F116" s="142"/>
      <c r="G116" s="142"/>
      <c r="H116" s="142">
        <f t="shared" ref="H116:H128" si="17">G116*D116</f>
        <v>0</v>
      </c>
      <c r="I116" s="142"/>
      <c r="J116" s="10">
        <f>I116*D116</f>
        <v>0</v>
      </c>
      <c r="K116" s="198">
        <f t="shared" ref="K116:K129" si="18">J116+H116+F116</f>
        <v>0</v>
      </c>
    </row>
    <row r="117" spans="1:11" ht="27" x14ac:dyDescent="0.35">
      <c r="A117" s="47">
        <v>3</v>
      </c>
      <c r="B117" s="9" t="s">
        <v>18</v>
      </c>
      <c r="C117" s="2" t="s">
        <v>16</v>
      </c>
      <c r="D117" s="142">
        <v>1</v>
      </c>
      <c r="E117" s="142"/>
      <c r="F117" s="142"/>
      <c r="G117" s="142"/>
      <c r="H117" s="142">
        <f t="shared" si="17"/>
        <v>0</v>
      </c>
      <c r="I117" s="142"/>
      <c r="J117" s="10">
        <f>I117*D117</f>
        <v>0</v>
      </c>
      <c r="K117" s="198">
        <f t="shared" si="18"/>
        <v>0</v>
      </c>
    </row>
    <row r="118" spans="1:11" x14ac:dyDescent="0.35">
      <c r="A118" s="47">
        <v>4</v>
      </c>
      <c r="B118" s="9" t="s">
        <v>74</v>
      </c>
      <c r="C118" s="2" t="s">
        <v>13</v>
      </c>
      <c r="D118" s="142">
        <v>1.85</v>
      </c>
      <c r="E118" s="142"/>
      <c r="F118" s="142"/>
      <c r="G118" s="142"/>
      <c r="H118" s="142">
        <f t="shared" si="17"/>
        <v>0</v>
      </c>
      <c r="I118" s="142"/>
      <c r="J118" s="10">
        <f>I118*D118</f>
        <v>0</v>
      </c>
      <c r="K118" s="198">
        <f t="shared" si="18"/>
        <v>0</v>
      </c>
    </row>
    <row r="119" spans="1:11" ht="27" x14ac:dyDescent="0.35">
      <c r="A119" s="47">
        <v>5</v>
      </c>
      <c r="B119" s="16" t="s">
        <v>388</v>
      </c>
      <c r="C119" s="26" t="s">
        <v>16</v>
      </c>
      <c r="D119" s="139">
        <v>2</v>
      </c>
      <c r="E119" s="139"/>
      <c r="F119" s="139"/>
      <c r="G119" s="139"/>
      <c r="H119" s="139">
        <f>G119*D119</f>
        <v>0</v>
      </c>
      <c r="I119" s="139"/>
      <c r="J119" s="21">
        <f>I119*D119</f>
        <v>0</v>
      </c>
      <c r="K119" s="199">
        <f>J119+H119+F119</f>
        <v>0</v>
      </c>
    </row>
    <row r="120" spans="1:11" x14ac:dyDescent="0.35">
      <c r="A120" s="47">
        <v>6</v>
      </c>
      <c r="B120" s="13" t="s">
        <v>75</v>
      </c>
      <c r="C120" s="2" t="s">
        <v>16</v>
      </c>
      <c r="D120" s="142">
        <v>27</v>
      </c>
      <c r="E120" s="139"/>
      <c r="F120" s="139"/>
      <c r="G120" s="139"/>
      <c r="H120" s="142">
        <f t="shared" si="17"/>
        <v>0</v>
      </c>
      <c r="I120" s="139"/>
      <c r="J120" s="10"/>
      <c r="K120" s="198">
        <f t="shared" si="18"/>
        <v>0</v>
      </c>
    </row>
    <row r="121" spans="1:11" x14ac:dyDescent="0.35">
      <c r="A121" s="47">
        <v>7</v>
      </c>
      <c r="B121" s="13" t="s">
        <v>76</v>
      </c>
      <c r="C121" s="2" t="s">
        <v>16</v>
      </c>
      <c r="D121" s="142">
        <v>15</v>
      </c>
      <c r="E121" s="139"/>
      <c r="F121" s="139"/>
      <c r="G121" s="139"/>
      <c r="H121" s="142">
        <f t="shared" si="17"/>
        <v>0</v>
      </c>
      <c r="I121" s="139"/>
      <c r="J121" s="10"/>
      <c r="K121" s="198">
        <f t="shared" si="18"/>
        <v>0</v>
      </c>
    </row>
    <row r="122" spans="1:11" ht="40.5" x14ac:dyDescent="0.35">
      <c r="A122" s="47">
        <v>8</v>
      </c>
      <c r="B122" s="9" t="s">
        <v>142</v>
      </c>
      <c r="C122" s="2" t="s">
        <v>13</v>
      </c>
      <c r="D122" s="59">
        <f>1.15*2.05*9</f>
        <v>21.217499999999994</v>
      </c>
      <c r="E122" s="142"/>
      <c r="F122" s="142"/>
      <c r="G122" s="142"/>
      <c r="H122" s="142">
        <f t="shared" si="17"/>
        <v>0</v>
      </c>
      <c r="I122" s="142"/>
      <c r="J122" s="10">
        <f t="shared" ref="J122:J129" si="19">I122*D122</f>
        <v>0</v>
      </c>
      <c r="K122" s="198">
        <f t="shared" si="18"/>
        <v>0</v>
      </c>
    </row>
    <row r="123" spans="1:11" ht="40.5" x14ac:dyDescent="0.35">
      <c r="A123" s="47">
        <v>9</v>
      </c>
      <c r="B123" s="9" t="s">
        <v>143</v>
      </c>
      <c r="C123" s="2" t="s">
        <v>13</v>
      </c>
      <c r="D123" s="59">
        <f>1.5*2.05*6</f>
        <v>18.45</v>
      </c>
      <c r="E123" s="142"/>
      <c r="F123" s="142"/>
      <c r="G123" s="142"/>
      <c r="H123" s="142">
        <f t="shared" si="17"/>
        <v>0</v>
      </c>
      <c r="I123" s="142"/>
      <c r="J123" s="10">
        <f t="shared" si="19"/>
        <v>0</v>
      </c>
      <c r="K123" s="198">
        <f t="shared" si="18"/>
        <v>0</v>
      </c>
    </row>
    <row r="124" spans="1:11" x14ac:dyDescent="0.35">
      <c r="A124" s="47">
        <v>10</v>
      </c>
      <c r="B124" s="13" t="s">
        <v>144</v>
      </c>
      <c r="C124" s="2" t="s">
        <v>20</v>
      </c>
      <c r="D124" s="142">
        <v>11</v>
      </c>
      <c r="E124" s="139"/>
      <c r="F124" s="139"/>
      <c r="G124" s="139"/>
      <c r="H124" s="142">
        <f t="shared" si="17"/>
        <v>0</v>
      </c>
      <c r="I124" s="139"/>
      <c r="J124" s="10">
        <f t="shared" si="19"/>
        <v>0</v>
      </c>
      <c r="K124" s="198">
        <f t="shared" si="18"/>
        <v>0</v>
      </c>
    </row>
    <row r="125" spans="1:11" ht="27" x14ac:dyDescent="0.35">
      <c r="A125" s="47">
        <v>11</v>
      </c>
      <c r="B125" s="13" t="s">
        <v>21</v>
      </c>
      <c r="C125" s="2" t="s">
        <v>22</v>
      </c>
      <c r="D125" s="142">
        <v>95</v>
      </c>
      <c r="E125" s="139"/>
      <c r="F125" s="139"/>
      <c r="G125" s="139"/>
      <c r="H125" s="142">
        <f t="shared" si="17"/>
        <v>0</v>
      </c>
      <c r="I125" s="139"/>
      <c r="J125" s="10">
        <f t="shared" si="19"/>
        <v>0</v>
      </c>
      <c r="K125" s="198">
        <f t="shared" si="18"/>
        <v>0</v>
      </c>
    </row>
    <row r="126" spans="1:11" x14ac:dyDescent="0.35">
      <c r="A126" s="47">
        <v>13</v>
      </c>
      <c r="B126" s="13" t="s">
        <v>92</v>
      </c>
      <c r="C126" s="2" t="s">
        <v>20</v>
      </c>
      <c r="D126" s="142">
        <v>1</v>
      </c>
      <c r="E126" s="139"/>
      <c r="F126" s="139"/>
      <c r="G126" s="139"/>
      <c r="H126" s="142">
        <f t="shared" si="17"/>
        <v>0</v>
      </c>
      <c r="I126" s="139"/>
      <c r="J126" s="10">
        <f t="shared" si="19"/>
        <v>0</v>
      </c>
      <c r="K126" s="198">
        <f t="shared" si="18"/>
        <v>0</v>
      </c>
    </row>
    <row r="127" spans="1:11" ht="27" x14ac:dyDescent="0.35">
      <c r="A127" s="184">
        <v>14</v>
      </c>
      <c r="B127" s="170" t="s">
        <v>93</v>
      </c>
      <c r="C127" s="186" t="s">
        <v>13</v>
      </c>
      <c r="D127" s="197">
        <v>20</v>
      </c>
      <c r="E127" s="197"/>
      <c r="F127" s="197"/>
      <c r="G127" s="197"/>
      <c r="H127" s="187">
        <f t="shared" si="17"/>
        <v>0</v>
      </c>
      <c r="I127" s="197"/>
      <c r="J127" s="188">
        <f t="shared" si="19"/>
        <v>0</v>
      </c>
      <c r="K127" s="189">
        <f t="shared" si="18"/>
        <v>0</v>
      </c>
    </row>
    <row r="128" spans="1:11" x14ac:dyDescent="0.35">
      <c r="A128" s="47">
        <v>17</v>
      </c>
      <c r="B128" s="16" t="s">
        <v>28</v>
      </c>
      <c r="C128" s="2" t="s">
        <v>29</v>
      </c>
      <c r="D128" s="7">
        <v>5.5</v>
      </c>
      <c r="E128" s="7"/>
      <c r="F128" s="7"/>
      <c r="G128" s="7"/>
      <c r="H128" s="7">
        <f t="shared" si="17"/>
        <v>0</v>
      </c>
      <c r="I128" s="7"/>
      <c r="J128" s="10">
        <f t="shared" si="19"/>
        <v>0</v>
      </c>
      <c r="K128" s="176">
        <f t="shared" si="18"/>
        <v>0</v>
      </c>
    </row>
    <row r="129" spans="1:12" x14ac:dyDescent="0.35">
      <c r="A129" s="47">
        <v>18</v>
      </c>
      <c r="B129" s="16" t="s">
        <v>31</v>
      </c>
      <c r="C129" s="2" t="s">
        <v>32</v>
      </c>
      <c r="D129" s="7">
        <f>D128*1.8</f>
        <v>9.9</v>
      </c>
      <c r="E129" s="7"/>
      <c r="F129" s="7"/>
      <c r="G129" s="7"/>
      <c r="H129" s="7"/>
      <c r="I129" s="7"/>
      <c r="J129" s="10">
        <f t="shared" si="19"/>
        <v>0</v>
      </c>
      <c r="K129" s="176">
        <f t="shared" si="18"/>
        <v>0</v>
      </c>
    </row>
    <row r="130" spans="1:12" x14ac:dyDescent="0.35">
      <c r="A130" s="303"/>
      <c r="B130" s="304" t="s">
        <v>33</v>
      </c>
      <c r="C130" s="278"/>
      <c r="D130" s="289"/>
      <c r="E130" s="289"/>
      <c r="F130" s="289"/>
      <c r="G130" s="289"/>
      <c r="H130" s="289"/>
      <c r="I130" s="289"/>
      <c r="J130" s="295"/>
      <c r="K130" s="291"/>
    </row>
    <row r="131" spans="1:12" x14ac:dyDescent="0.35">
      <c r="A131" s="305"/>
      <c r="B131" s="298" t="s">
        <v>97</v>
      </c>
      <c r="C131" s="278"/>
      <c r="D131" s="279"/>
      <c r="E131" s="289"/>
      <c r="F131" s="289"/>
      <c r="G131" s="289"/>
      <c r="H131" s="289"/>
      <c r="I131" s="289"/>
      <c r="J131" s="295"/>
      <c r="K131" s="291"/>
    </row>
    <row r="132" spans="1:12" ht="27" x14ac:dyDescent="0.35">
      <c r="A132" s="70" t="s">
        <v>104</v>
      </c>
      <c r="B132" s="17" t="s">
        <v>105</v>
      </c>
      <c r="C132" s="18" t="s">
        <v>13</v>
      </c>
      <c r="D132" s="19">
        <v>2</v>
      </c>
      <c r="E132" s="68"/>
      <c r="F132" s="5">
        <f t="shared" ref="F132:F139" si="20">E132*D132</f>
        <v>0</v>
      </c>
      <c r="G132" s="5"/>
      <c r="H132" s="142">
        <f t="shared" ref="H132:H138" si="21">G132*D132</f>
        <v>0</v>
      </c>
      <c r="I132" s="5"/>
      <c r="J132" s="10">
        <f t="shared" ref="J132:J138" si="22">I132*D132</f>
        <v>0</v>
      </c>
      <c r="K132" s="175">
        <f t="shared" ref="K132:K138" si="23">J132+H132+F132</f>
        <v>0</v>
      </c>
    </row>
    <row r="133" spans="1:12" ht="27" x14ac:dyDescent="0.35">
      <c r="A133" s="353" t="s">
        <v>106</v>
      </c>
      <c r="B133" s="17" t="s">
        <v>107</v>
      </c>
      <c r="C133" s="18" t="s">
        <v>13</v>
      </c>
      <c r="D133" s="19">
        <v>2</v>
      </c>
      <c r="E133" s="68"/>
      <c r="F133" s="5">
        <f t="shared" si="20"/>
        <v>0</v>
      </c>
      <c r="G133" s="5"/>
      <c r="H133" s="142">
        <f t="shared" si="21"/>
        <v>0</v>
      </c>
      <c r="I133" s="5"/>
      <c r="J133" s="10">
        <f t="shared" si="22"/>
        <v>0</v>
      </c>
      <c r="K133" s="175">
        <f t="shared" si="23"/>
        <v>0</v>
      </c>
    </row>
    <row r="134" spans="1:12" x14ac:dyDescent="0.35">
      <c r="A134" s="354"/>
      <c r="B134" s="13" t="s">
        <v>145</v>
      </c>
      <c r="C134" s="2" t="s">
        <v>13</v>
      </c>
      <c r="D134" s="5">
        <f>1.05*D133</f>
        <v>2.1</v>
      </c>
      <c r="E134" s="5"/>
      <c r="F134" s="5">
        <f t="shared" si="20"/>
        <v>0</v>
      </c>
      <c r="G134" s="5"/>
      <c r="H134" s="142">
        <f t="shared" si="21"/>
        <v>0</v>
      </c>
      <c r="I134" s="5"/>
      <c r="J134" s="10">
        <f t="shared" si="22"/>
        <v>0</v>
      </c>
      <c r="K134" s="175">
        <f t="shared" si="23"/>
        <v>0</v>
      </c>
    </row>
    <row r="135" spans="1:12" x14ac:dyDescent="0.35">
      <c r="A135" s="354"/>
      <c r="B135" s="13" t="s">
        <v>146</v>
      </c>
      <c r="C135" s="2" t="s">
        <v>40</v>
      </c>
      <c r="D135" s="5">
        <f>6*D133</f>
        <v>12</v>
      </c>
      <c r="E135" s="5"/>
      <c r="F135" s="5">
        <f t="shared" si="20"/>
        <v>0</v>
      </c>
      <c r="G135" s="5"/>
      <c r="H135" s="142">
        <f t="shared" si="21"/>
        <v>0</v>
      </c>
      <c r="I135" s="5"/>
      <c r="J135" s="10">
        <f t="shared" si="22"/>
        <v>0</v>
      </c>
      <c r="K135" s="175">
        <f t="shared" si="23"/>
        <v>0</v>
      </c>
    </row>
    <row r="136" spans="1:12" x14ac:dyDescent="0.35">
      <c r="A136" s="354"/>
      <c r="B136" s="13" t="s">
        <v>147</v>
      </c>
      <c r="C136" s="2" t="s">
        <v>40</v>
      </c>
      <c r="D136" s="5">
        <f>0.04*D133</f>
        <v>0.08</v>
      </c>
      <c r="E136" s="5"/>
      <c r="F136" s="5">
        <f t="shared" si="20"/>
        <v>0</v>
      </c>
      <c r="G136" s="5"/>
      <c r="H136" s="142">
        <f t="shared" si="21"/>
        <v>0</v>
      </c>
      <c r="I136" s="5"/>
      <c r="J136" s="10">
        <f t="shared" si="22"/>
        <v>0</v>
      </c>
      <c r="K136" s="175">
        <f t="shared" si="23"/>
        <v>0</v>
      </c>
    </row>
    <row r="137" spans="1:12" x14ac:dyDescent="0.35">
      <c r="A137" s="355"/>
      <c r="B137" s="13" t="s">
        <v>38</v>
      </c>
      <c r="C137" s="2" t="s">
        <v>1</v>
      </c>
      <c r="D137" s="5">
        <f>(D133)*0.3</f>
        <v>0.6</v>
      </c>
      <c r="E137" s="5"/>
      <c r="F137" s="5">
        <f t="shared" si="20"/>
        <v>0</v>
      </c>
      <c r="G137" s="5"/>
      <c r="H137" s="142">
        <f t="shared" si="21"/>
        <v>0</v>
      </c>
      <c r="I137" s="5"/>
      <c r="J137" s="10">
        <f t="shared" si="22"/>
        <v>0</v>
      </c>
      <c r="K137" s="175">
        <f t="shared" si="23"/>
        <v>0</v>
      </c>
    </row>
    <row r="138" spans="1:12" x14ac:dyDescent="0.35">
      <c r="A138" s="203"/>
      <c r="B138" s="196" t="s">
        <v>462</v>
      </c>
      <c r="C138" s="190" t="s">
        <v>1</v>
      </c>
      <c r="D138" s="191">
        <v>1</v>
      </c>
      <c r="E138" s="191"/>
      <c r="F138" s="191">
        <f t="shared" si="20"/>
        <v>0</v>
      </c>
      <c r="G138" s="191"/>
      <c r="H138" s="191">
        <f t="shared" si="21"/>
        <v>0</v>
      </c>
      <c r="I138" s="191"/>
      <c r="J138" s="192">
        <f t="shared" si="22"/>
        <v>0</v>
      </c>
      <c r="K138" s="193">
        <f t="shared" si="23"/>
        <v>0</v>
      </c>
      <c r="L138" s="194" t="s">
        <v>464</v>
      </c>
    </row>
    <row r="139" spans="1:12" x14ac:dyDescent="0.35">
      <c r="A139" s="203"/>
      <c r="B139" s="196" t="s">
        <v>463</v>
      </c>
      <c r="C139" s="190" t="s">
        <v>1</v>
      </c>
      <c r="D139" s="191">
        <v>1</v>
      </c>
      <c r="E139" s="191"/>
      <c r="F139" s="191">
        <f t="shared" si="20"/>
        <v>0</v>
      </c>
      <c r="G139" s="191"/>
      <c r="H139" s="191">
        <f t="shared" ref="H139" si="24">G139*D139</f>
        <v>0</v>
      </c>
      <c r="I139" s="191"/>
      <c r="J139" s="192">
        <f t="shared" ref="J139" si="25">I139*D139</f>
        <v>0</v>
      </c>
      <c r="K139" s="193">
        <f t="shared" ref="K139" si="26">J139+H139+F139</f>
        <v>0</v>
      </c>
      <c r="L139" s="194" t="s">
        <v>464</v>
      </c>
    </row>
    <row r="140" spans="1:12" x14ac:dyDescent="0.35">
      <c r="A140" s="203"/>
      <c r="B140" s="196" t="s">
        <v>465</v>
      </c>
      <c r="C140" s="190" t="s">
        <v>1</v>
      </c>
      <c r="D140" s="191">
        <v>1</v>
      </c>
      <c r="E140" s="191"/>
      <c r="F140" s="191">
        <f t="shared" ref="F140" si="27">E140*D140</f>
        <v>0</v>
      </c>
      <c r="G140" s="191"/>
      <c r="H140" s="191">
        <f t="shared" ref="H140" si="28">G140*D140</f>
        <v>0</v>
      </c>
      <c r="I140" s="191"/>
      <c r="J140" s="192">
        <f t="shared" ref="J140" si="29">I140*D140</f>
        <v>0</v>
      </c>
      <c r="K140" s="193">
        <f t="shared" ref="K140" si="30">J140+H140+F140</f>
        <v>0</v>
      </c>
      <c r="L140" s="194" t="s">
        <v>464</v>
      </c>
    </row>
    <row r="141" spans="1:12" x14ac:dyDescent="0.35">
      <c r="A141" s="302"/>
      <c r="B141" s="298" t="s">
        <v>111</v>
      </c>
      <c r="C141" s="278"/>
      <c r="D141" s="279"/>
      <c r="E141" s="279"/>
      <c r="F141" s="279"/>
      <c r="G141" s="279"/>
      <c r="H141" s="279"/>
      <c r="I141" s="279"/>
      <c r="J141" s="279"/>
      <c r="K141" s="296"/>
    </row>
    <row r="142" spans="1:12" ht="40.5" x14ac:dyDescent="0.35">
      <c r="A142" s="353" t="s">
        <v>78</v>
      </c>
      <c r="B142" s="17" t="s">
        <v>460</v>
      </c>
      <c r="C142" s="18" t="s">
        <v>13</v>
      </c>
      <c r="D142" s="19">
        <v>892</v>
      </c>
      <c r="E142" s="142"/>
      <c r="F142" s="142"/>
      <c r="G142" s="142"/>
      <c r="H142" s="142">
        <f>G142*D142</f>
        <v>0</v>
      </c>
      <c r="I142" s="142"/>
      <c r="J142" s="142">
        <f>I142*D142</f>
        <v>0</v>
      </c>
      <c r="K142" s="175">
        <f t="shared" ref="K142:K155" si="31">J142+H142+F142</f>
        <v>0</v>
      </c>
    </row>
    <row r="143" spans="1:12" x14ac:dyDescent="0.35">
      <c r="A143" s="354"/>
      <c r="B143" s="13" t="s">
        <v>374</v>
      </c>
      <c r="C143" s="2" t="s">
        <v>40</v>
      </c>
      <c r="D143" s="5">
        <f>0.35*D142</f>
        <v>312.2</v>
      </c>
      <c r="E143" s="142"/>
      <c r="F143" s="142">
        <f t="shared" ref="F143:F150" si="32">E143*D143</f>
        <v>0</v>
      </c>
      <c r="G143" s="142"/>
      <c r="H143" s="142"/>
      <c r="I143" s="142"/>
      <c r="J143" s="142"/>
      <c r="K143" s="175">
        <f t="shared" si="31"/>
        <v>0</v>
      </c>
    </row>
    <row r="144" spans="1:12" x14ac:dyDescent="0.35">
      <c r="A144" s="354"/>
      <c r="B144" s="13" t="s">
        <v>375</v>
      </c>
      <c r="C144" s="2" t="s">
        <v>40</v>
      </c>
      <c r="D144" s="5">
        <f>0.4*D142</f>
        <v>356.8</v>
      </c>
      <c r="E144" s="5"/>
      <c r="F144" s="142">
        <f t="shared" si="32"/>
        <v>0</v>
      </c>
      <c r="G144" s="142"/>
      <c r="H144" s="142"/>
      <c r="I144" s="142"/>
      <c r="J144" s="142"/>
      <c r="K144" s="177">
        <f t="shared" si="31"/>
        <v>0</v>
      </c>
    </row>
    <row r="145" spans="1:12" x14ac:dyDescent="0.35">
      <c r="A145" s="354"/>
      <c r="B145" s="13" t="s">
        <v>376</v>
      </c>
      <c r="C145" s="2" t="s">
        <v>40</v>
      </c>
      <c r="D145" s="5">
        <f>0.15*D142</f>
        <v>133.79999999999998</v>
      </c>
      <c r="E145" s="5"/>
      <c r="F145" s="142">
        <f t="shared" si="32"/>
        <v>0</v>
      </c>
      <c r="G145" s="142"/>
      <c r="H145" s="142"/>
      <c r="I145" s="142"/>
      <c r="J145" s="142"/>
      <c r="K145" s="177">
        <f t="shared" si="31"/>
        <v>0</v>
      </c>
    </row>
    <row r="146" spans="1:12" x14ac:dyDescent="0.35">
      <c r="A146" s="354"/>
      <c r="B146" s="13" t="s">
        <v>115</v>
      </c>
      <c r="C146" s="2" t="s">
        <v>40</v>
      </c>
      <c r="D146" s="5">
        <f>0.08*D142</f>
        <v>71.36</v>
      </c>
      <c r="E146" s="5"/>
      <c r="F146" s="142">
        <f t="shared" si="32"/>
        <v>0</v>
      </c>
      <c r="G146" s="142"/>
      <c r="H146" s="142"/>
      <c r="I146" s="142"/>
      <c r="J146" s="142"/>
      <c r="K146" s="177">
        <f t="shared" si="31"/>
        <v>0</v>
      </c>
    </row>
    <row r="147" spans="1:12" x14ac:dyDescent="0.35">
      <c r="A147" s="354"/>
      <c r="B147" s="13" t="s">
        <v>116</v>
      </c>
      <c r="C147" s="2" t="s">
        <v>13</v>
      </c>
      <c r="D147" s="5">
        <f>0.009*D142</f>
        <v>8.0279999999999987</v>
      </c>
      <c r="E147" s="142"/>
      <c r="F147" s="142">
        <f t="shared" si="32"/>
        <v>0</v>
      </c>
      <c r="G147" s="142"/>
      <c r="H147" s="142"/>
      <c r="I147" s="142"/>
      <c r="J147" s="142"/>
      <c r="K147" s="175">
        <f t="shared" si="31"/>
        <v>0</v>
      </c>
    </row>
    <row r="148" spans="1:12" x14ac:dyDescent="0.35">
      <c r="A148" s="354"/>
      <c r="B148" s="13" t="s">
        <v>117</v>
      </c>
      <c r="C148" s="2" t="s">
        <v>22</v>
      </c>
      <c r="D148" s="5">
        <f>0.4*D142</f>
        <v>356.8</v>
      </c>
      <c r="E148" s="142"/>
      <c r="F148" s="142">
        <f t="shared" si="32"/>
        <v>0</v>
      </c>
      <c r="G148" s="142"/>
      <c r="H148" s="142"/>
      <c r="I148" s="142"/>
      <c r="J148" s="142"/>
      <c r="K148" s="175">
        <f t="shared" si="31"/>
        <v>0</v>
      </c>
    </row>
    <row r="149" spans="1:12" x14ac:dyDescent="0.35">
      <c r="A149" s="354"/>
      <c r="B149" s="13" t="s">
        <v>118</v>
      </c>
      <c r="C149" s="2" t="s">
        <v>22</v>
      </c>
      <c r="D149" s="5">
        <f>0.3*D142</f>
        <v>267.59999999999997</v>
      </c>
      <c r="E149" s="142"/>
      <c r="F149" s="142">
        <f t="shared" si="32"/>
        <v>0</v>
      </c>
      <c r="G149" s="142"/>
      <c r="H149" s="142"/>
      <c r="I149" s="142"/>
      <c r="J149" s="142"/>
      <c r="K149" s="175">
        <f t="shared" si="31"/>
        <v>0</v>
      </c>
    </row>
    <row r="150" spans="1:12" x14ac:dyDescent="0.35">
      <c r="A150" s="355"/>
      <c r="B150" s="13" t="s">
        <v>38</v>
      </c>
      <c r="C150" s="2" t="s">
        <v>1</v>
      </c>
      <c r="D150" s="5">
        <f>D142*0.02</f>
        <v>17.84</v>
      </c>
      <c r="E150" s="5"/>
      <c r="F150" s="142">
        <f t="shared" si="32"/>
        <v>0</v>
      </c>
      <c r="G150" s="5"/>
      <c r="H150" s="5"/>
      <c r="I150" s="5"/>
      <c r="J150" s="5"/>
      <c r="K150" s="177">
        <f t="shared" si="31"/>
        <v>0</v>
      </c>
    </row>
    <row r="151" spans="1:12" ht="40.5" x14ac:dyDescent="0.35">
      <c r="A151" s="354" t="s">
        <v>25</v>
      </c>
      <c r="B151" s="17" t="s">
        <v>42</v>
      </c>
      <c r="C151" s="18" t="s">
        <v>13</v>
      </c>
      <c r="D151" s="20">
        <v>42</v>
      </c>
      <c r="E151" s="139"/>
      <c r="F151" s="139"/>
      <c r="G151" s="139"/>
      <c r="H151" s="139">
        <f>G151*D151</f>
        <v>0</v>
      </c>
      <c r="I151" s="139"/>
      <c r="J151" s="21">
        <f>I151*D151</f>
        <v>0</v>
      </c>
      <c r="K151" s="177">
        <f t="shared" si="31"/>
        <v>0</v>
      </c>
    </row>
    <row r="152" spans="1:12" x14ac:dyDescent="0.35">
      <c r="A152" s="354"/>
      <c r="B152" s="13" t="s">
        <v>119</v>
      </c>
      <c r="C152" s="2" t="s">
        <v>40</v>
      </c>
      <c r="D152" s="5">
        <f>0.4*D151</f>
        <v>16.8</v>
      </c>
      <c r="E152" s="142"/>
      <c r="F152" s="142">
        <f>E152*D152</f>
        <v>0</v>
      </c>
      <c r="G152" s="142"/>
      <c r="H152" s="142"/>
      <c r="I152" s="142"/>
      <c r="J152" s="142"/>
      <c r="K152" s="177">
        <f t="shared" si="31"/>
        <v>0</v>
      </c>
    </row>
    <row r="153" spans="1:12" x14ac:dyDescent="0.35">
      <c r="A153" s="354"/>
      <c r="B153" s="13" t="s">
        <v>120</v>
      </c>
      <c r="C153" s="2" t="s">
        <v>40</v>
      </c>
      <c r="D153" s="5">
        <f>0.08*D151</f>
        <v>3.36</v>
      </c>
      <c r="E153" s="142"/>
      <c r="F153" s="142">
        <f>E153*D153</f>
        <v>0</v>
      </c>
      <c r="G153" s="142"/>
      <c r="H153" s="142"/>
      <c r="I153" s="142"/>
      <c r="J153" s="142"/>
      <c r="K153" s="177">
        <f t="shared" si="31"/>
        <v>0</v>
      </c>
    </row>
    <row r="154" spans="1:12" x14ac:dyDescent="0.35">
      <c r="A154" s="354"/>
      <c r="B154" s="13" t="s">
        <v>121</v>
      </c>
      <c r="C154" s="2" t="s">
        <v>13</v>
      </c>
      <c r="D154" s="5">
        <f>0.009*D151</f>
        <v>0.37799999999999995</v>
      </c>
      <c r="E154" s="142"/>
      <c r="F154" s="142">
        <f>E154*D154</f>
        <v>0</v>
      </c>
      <c r="G154" s="142"/>
      <c r="H154" s="142"/>
      <c r="I154" s="142"/>
      <c r="J154" s="142"/>
      <c r="K154" s="177">
        <f t="shared" si="31"/>
        <v>0</v>
      </c>
    </row>
    <row r="155" spans="1:12" x14ac:dyDescent="0.35">
      <c r="A155" s="354"/>
      <c r="B155" s="13" t="s">
        <v>38</v>
      </c>
      <c r="C155" s="2" t="s">
        <v>1</v>
      </c>
      <c r="D155" s="5">
        <f>D151*0.02</f>
        <v>0.84</v>
      </c>
      <c r="E155" s="5"/>
      <c r="F155" s="142">
        <f>E155*D155</f>
        <v>0</v>
      </c>
      <c r="G155" s="5"/>
      <c r="H155" s="5"/>
      <c r="I155" s="5"/>
      <c r="J155" s="5"/>
      <c r="K155" s="177">
        <f t="shared" si="31"/>
        <v>0</v>
      </c>
    </row>
    <row r="156" spans="1:12" x14ac:dyDescent="0.35">
      <c r="A156" s="302"/>
      <c r="B156" s="298" t="s">
        <v>129</v>
      </c>
      <c r="C156" s="278"/>
      <c r="D156" s="279"/>
      <c r="E156" s="279"/>
      <c r="F156" s="279"/>
      <c r="G156" s="279"/>
      <c r="H156" s="279"/>
      <c r="I156" s="279"/>
      <c r="J156" s="295"/>
      <c r="K156" s="296"/>
    </row>
    <row r="157" spans="1:12" s="194" customFormat="1" ht="27" x14ac:dyDescent="0.35">
      <c r="A157" s="203" t="s">
        <v>35</v>
      </c>
      <c r="B157" s="204" t="s">
        <v>148</v>
      </c>
      <c r="C157" s="205" t="s">
        <v>13</v>
      </c>
      <c r="D157" s="206">
        <f>D123</f>
        <v>18.45</v>
      </c>
      <c r="E157" s="191"/>
      <c r="F157" s="191">
        <f>E157*D157</f>
        <v>0</v>
      </c>
      <c r="G157" s="191"/>
      <c r="H157" s="191">
        <f>G157*D157</f>
        <v>0</v>
      </c>
      <c r="I157" s="191"/>
      <c r="J157" s="192">
        <f>I157*D157</f>
        <v>0</v>
      </c>
      <c r="K157" s="193">
        <f>J157+H157+F157</f>
        <v>0</v>
      </c>
      <c r="L157" s="194" t="s">
        <v>464</v>
      </c>
    </row>
    <row r="158" spans="1:12" ht="27" x14ac:dyDescent="0.35">
      <c r="A158" s="166" t="s">
        <v>35</v>
      </c>
      <c r="B158" s="17" t="s">
        <v>466</v>
      </c>
      <c r="C158" s="18" t="s">
        <v>13</v>
      </c>
      <c r="D158" s="19">
        <v>2.31</v>
      </c>
      <c r="E158" s="5"/>
      <c r="F158" s="5">
        <f>E158*D158</f>
        <v>0</v>
      </c>
      <c r="G158" s="142"/>
      <c r="H158" s="142">
        <f>G158*D158</f>
        <v>0</v>
      </c>
      <c r="I158" s="142"/>
      <c r="J158" s="10">
        <f>I158*D158</f>
        <v>0</v>
      </c>
      <c r="K158" s="175">
        <f>J158+H158+F158</f>
        <v>0</v>
      </c>
    </row>
    <row r="159" spans="1:12" ht="40.5" x14ac:dyDescent="0.35">
      <c r="A159" s="166" t="s">
        <v>83</v>
      </c>
      <c r="B159" s="27" t="s">
        <v>79</v>
      </c>
      <c r="C159" s="28" t="s">
        <v>16</v>
      </c>
      <c r="D159" s="20">
        <v>17</v>
      </c>
      <c r="E159" s="7"/>
      <c r="F159" s="7">
        <f>E159*D159</f>
        <v>0</v>
      </c>
      <c r="G159" s="139"/>
      <c r="H159" s="142">
        <f>G159*D159</f>
        <v>0</v>
      </c>
      <c r="I159" s="139"/>
      <c r="J159" s="10">
        <f>I159*D159</f>
        <v>0</v>
      </c>
      <c r="K159" s="175">
        <f>J159+H159+F159</f>
        <v>0</v>
      </c>
    </row>
    <row r="160" spans="1:12" x14ac:dyDescent="0.35">
      <c r="A160" s="297"/>
      <c r="B160" s="298" t="s">
        <v>132</v>
      </c>
      <c r="C160" s="299"/>
      <c r="D160" s="300"/>
      <c r="E160" s="300"/>
      <c r="F160" s="300"/>
      <c r="G160" s="300"/>
      <c r="H160" s="300"/>
      <c r="I160" s="300"/>
      <c r="J160" s="300"/>
      <c r="K160" s="301"/>
    </row>
    <row r="161" spans="1:11" x14ac:dyDescent="0.35">
      <c r="A161" s="353" t="s">
        <v>39</v>
      </c>
      <c r="B161" s="200" t="s">
        <v>377</v>
      </c>
      <c r="C161" s="201" t="s">
        <v>13</v>
      </c>
      <c r="D161" s="148">
        <v>60</v>
      </c>
      <c r="E161" s="187"/>
      <c r="F161" s="187">
        <f t="shared" ref="F161:F173" si="33">E161*D161</f>
        <v>0</v>
      </c>
      <c r="G161" s="187"/>
      <c r="H161" s="187">
        <f t="shared" ref="H161:H173" si="34">G161*D161</f>
        <v>0</v>
      </c>
      <c r="I161" s="187"/>
      <c r="J161" s="188">
        <f t="shared" ref="J161:J171" si="35">I161*D161</f>
        <v>0</v>
      </c>
      <c r="K161" s="189">
        <f t="shared" ref="K161:K173" si="36">J161+H161+F161</f>
        <v>0</v>
      </c>
    </row>
    <row r="162" spans="1:11" ht="27" x14ac:dyDescent="0.35">
      <c r="A162" s="354"/>
      <c r="B162" s="13" t="s">
        <v>55</v>
      </c>
      <c r="C162" s="2" t="s">
        <v>13</v>
      </c>
      <c r="D162" s="142">
        <f>D161</f>
        <v>60</v>
      </c>
      <c r="E162" s="142"/>
      <c r="F162" s="5">
        <f t="shared" si="33"/>
        <v>0</v>
      </c>
      <c r="G162" s="142"/>
      <c r="H162" s="142">
        <f t="shared" si="34"/>
        <v>0</v>
      </c>
      <c r="I162" s="142"/>
      <c r="J162" s="10">
        <f t="shared" si="35"/>
        <v>0</v>
      </c>
      <c r="K162" s="175">
        <f t="shared" si="36"/>
        <v>0</v>
      </c>
    </row>
    <row r="163" spans="1:11" x14ac:dyDescent="0.35">
      <c r="A163" s="354"/>
      <c r="B163" s="13" t="s">
        <v>38</v>
      </c>
      <c r="C163" s="2" t="s">
        <v>1</v>
      </c>
      <c r="D163" s="142">
        <f>D161*0.03</f>
        <v>1.7999999999999998</v>
      </c>
      <c r="E163" s="142"/>
      <c r="F163" s="5">
        <f t="shared" si="33"/>
        <v>0</v>
      </c>
      <c r="G163" s="142"/>
      <c r="H163" s="142">
        <f t="shared" si="34"/>
        <v>0</v>
      </c>
      <c r="I163" s="142"/>
      <c r="J163" s="10">
        <f t="shared" si="35"/>
        <v>0</v>
      </c>
      <c r="K163" s="175">
        <f t="shared" si="36"/>
        <v>0</v>
      </c>
    </row>
    <row r="164" spans="1:11" x14ac:dyDescent="0.35">
      <c r="A164" s="355"/>
      <c r="B164" s="13" t="s">
        <v>134</v>
      </c>
      <c r="C164" s="2" t="s">
        <v>13</v>
      </c>
      <c r="D164" s="5">
        <f>D161</f>
        <v>60</v>
      </c>
      <c r="E164" s="142"/>
      <c r="F164" s="5">
        <f t="shared" si="33"/>
        <v>0</v>
      </c>
      <c r="G164" s="142"/>
      <c r="H164" s="142">
        <f t="shared" si="34"/>
        <v>0</v>
      </c>
      <c r="I164" s="142"/>
      <c r="J164" s="10">
        <f t="shared" si="35"/>
        <v>0</v>
      </c>
      <c r="K164" s="175">
        <f t="shared" si="36"/>
        <v>0</v>
      </c>
    </row>
    <row r="165" spans="1:11" x14ac:dyDescent="0.35">
      <c r="A165" s="353" t="s">
        <v>41</v>
      </c>
      <c r="B165" s="17" t="s">
        <v>82</v>
      </c>
      <c r="C165" s="18" t="s">
        <v>13</v>
      </c>
      <c r="D165" s="19">
        <f>D118</f>
        <v>1.85</v>
      </c>
      <c r="E165" s="142"/>
      <c r="F165" s="5">
        <f t="shared" si="33"/>
        <v>0</v>
      </c>
      <c r="G165" s="142"/>
      <c r="H165" s="142">
        <f t="shared" si="34"/>
        <v>0</v>
      </c>
      <c r="I165" s="142"/>
      <c r="J165" s="10">
        <f t="shared" si="35"/>
        <v>0</v>
      </c>
      <c r="K165" s="175">
        <f t="shared" si="36"/>
        <v>0</v>
      </c>
    </row>
    <row r="166" spans="1:11" ht="27" x14ac:dyDescent="0.35">
      <c r="A166" s="354"/>
      <c r="B166" s="13" t="s">
        <v>55</v>
      </c>
      <c r="C166" s="2" t="s">
        <v>13</v>
      </c>
      <c r="D166" s="142">
        <f>D165</f>
        <v>1.85</v>
      </c>
      <c r="E166" s="142"/>
      <c r="F166" s="5">
        <f t="shared" si="33"/>
        <v>0</v>
      </c>
      <c r="G166" s="142"/>
      <c r="H166" s="142">
        <f t="shared" si="34"/>
        <v>0</v>
      </c>
      <c r="I166" s="142"/>
      <c r="J166" s="10">
        <f t="shared" si="35"/>
        <v>0</v>
      </c>
      <c r="K166" s="175">
        <f t="shared" si="36"/>
        <v>0</v>
      </c>
    </row>
    <row r="167" spans="1:11" x14ac:dyDescent="0.35">
      <c r="A167" s="354"/>
      <c r="B167" s="13" t="s">
        <v>38</v>
      </c>
      <c r="C167" s="2" t="s">
        <v>1</v>
      </c>
      <c r="D167" s="142">
        <f>D165*0.03</f>
        <v>5.5500000000000001E-2</v>
      </c>
      <c r="E167" s="142"/>
      <c r="F167" s="5">
        <f t="shared" si="33"/>
        <v>0</v>
      </c>
      <c r="G167" s="142"/>
      <c r="H167" s="142">
        <f t="shared" si="34"/>
        <v>0</v>
      </c>
      <c r="I167" s="142"/>
      <c r="J167" s="10">
        <f t="shared" si="35"/>
        <v>0</v>
      </c>
      <c r="K167" s="175">
        <f t="shared" si="36"/>
        <v>0</v>
      </c>
    </row>
    <row r="168" spans="1:11" ht="27" x14ac:dyDescent="0.35">
      <c r="A168" s="355"/>
      <c r="B168" s="13" t="s">
        <v>56</v>
      </c>
      <c r="C168" s="2" t="s">
        <v>13</v>
      </c>
      <c r="D168" s="5">
        <f>D165</f>
        <v>1.85</v>
      </c>
      <c r="E168" s="142"/>
      <c r="F168" s="5">
        <f t="shared" si="33"/>
        <v>0</v>
      </c>
      <c r="G168" s="142"/>
      <c r="H168" s="142">
        <f t="shared" si="34"/>
        <v>0</v>
      </c>
      <c r="I168" s="142"/>
      <c r="J168" s="10">
        <f t="shared" si="35"/>
        <v>0</v>
      </c>
      <c r="K168" s="175">
        <f t="shared" si="36"/>
        <v>0</v>
      </c>
    </row>
    <row r="169" spans="1:11" x14ac:dyDescent="0.35">
      <c r="A169" s="292"/>
      <c r="B169" s="286" t="s">
        <v>149</v>
      </c>
      <c r="C169" s="293"/>
      <c r="D169" s="294"/>
      <c r="E169" s="289"/>
      <c r="F169" s="279">
        <f t="shared" si="33"/>
        <v>0</v>
      </c>
      <c r="G169" s="289"/>
      <c r="H169" s="279">
        <f t="shared" si="34"/>
        <v>0</v>
      </c>
      <c r="I169" s="289"/>
      <c r="J169" s="295">
        <f t="shared" si="35"/>
        <v>0</v>
      </c>
      <c r="K169" s="296">
        <f t="shared" si="36"/>
        <v>0</v>
      </c>
    </row>
    <row r="170" spans="1:11" x14ac:dyDescent="0.35">
      <c r="A170" s="47">
        <v>14</v>
      </c>
      <c r="B170" s="24" t="s">
        <v>59</v>
      </c>
      <c r="C170" s="2" t="s">
        <v>16</v>
      </c>
      <c r="D170" s="7">
        <f>D116</f>
        <v>30</v>
      </c>
      <c r="E170" s="197"/>
      <c r="F170" s="5">
        <f t="shared" si="33"/>
        <v>0</v>
      </c>
      <c r="G170" s="7"/>
      <c r="H170" s="142">
        <f t="shared" si="34"/>
        <v>0</v>
      </c>
      <c r="I170" s="7"/>
      <c r="J170" s="10">
        <f t="shared" si="35"/>
        <v>0</v>
      </c>
      <c r="K170" s="175">
        <f t="shared" si="36"/>
        <v>0</v>
      </c>
    </row>
    <row r="171" spans="1:11" ht="27" x14ac:dyDescent="0.35">
      <c r="A171" s="11" t="s">
        <v>51</v>
      </c>
      <c r="B171" s="25" t="s">
        <v>60</v>
      </c>
      <c r="C171" s="2" t="s">
        <v>16</v>
      </c>
      <c r="D171" s="7">
        <f>D117</f>
        <v>1</v>
      </c>
      <c r="E171" s="7"/>
      <c r="F171" s="5">
        <f t="shared" si="33"/>
        <v>0</v>
      </c>
      <c r="G171" s="7"/>
      <c r="H171" s="142">
        <f t="shared" si="34"/>
        <v>0</v>
      </c>
      <c r="I171" s="7"/>
      <c r="J171" s="10">
        <f t="shared" si="35"/>
        <v>0</v>
      </c>
      <c r="K171" s="175">
        <f t="shared" si="36"/>
        <v>0</v>
      </c>
    </row>
    <row r="172" spans="1:11" x14ac:dyDescent="0.35">
      <c r="A172" s="11" t="s">
        <v>80</v>
      </c>
      <c r="B172" s="25" t="s">
        <v>84</v>
      </c>
      <c r="C172" s="2" t="s">
        <v>85</v>
      </c>
      <c r="D172" s="5">
        <f>D120</f>
        <v>27</v>
      </c>
      <c r="E172" s="142"/>
      <c r="F172" s="59">
        <f t="shared" si="33"/>
        <v>0</v>
      </c>
      <c r="G172" s="142"/>
      <c r="H172" s="59">
        <f t="shared" si="34"/>
        <v>0</v>
      </c>
      <c r="I172" s="142"/>
      <c r="J172" s="59"/>
      <c r="K172" s="178">
        <f t="shared" si="36"/>
        <v>0</v>
      </c>
    </row>
    <row r="173" spans="1:11" x14ac:dyDescent="0.35">
      <c r="A173" s="11" t="s">
        <v>62</v>
      </c>
      <c r="B173" s="25" t="s">
        <v>86</v>
      </c>
      <c r="C173" s="2" t="s">
        <v>85</v>
      </c>
      <c r="D173" s="5">
        <f>D121</f>
        <v>15</v>
      </c>
      <c r="E173" s="142"/>
      <c r="F173" s="59">
        <f t="shared" si="33"/>
        <v>0</v>
      </c>
      <c r="G173" s="142"/>
      <c r="H173" s="59">
        <f t="shared" si="34"/>
        <v>0</v>
      </c>
      <c r="I173" s="142"/>
      <c r="J173" s="59">
        <f>I173*D173</f>
        <v>0</v>
      </c>
      <c r="K173" s="178">
        <f t="shared" si="36"/>
        <v>0</v>
      </c>
    </row>
    <row r="174" spans="1:11" x14ac:dyDescent="0.35">
      <c r="A174" s="285"/>
      <c r="B174" s="286" t="s">
        <v>150</v>
      </c>
      <c r="C174" s="287"/>
      <c r="D174" s="288"/>
      <c r="E174" s="289"/>
      <c r="F174" s="289"/>
      <c r="G174" s="289"/>
      <c r="H174" s="289"/>
      <c r="I174" s="289"/>
      <c r="J174" s="290"/>
      <c r="K174" s="291"/>
    </row>
    <row r="175" spans="1:11" ht="27" x14ac:dyDescent="0.35">
      <c r="A175" s="11" t="s">
        <v>53</v>
      </c>
      <c r="B175" s="16" t="s">
        <v>63</v>
      </c>
      <c r="C175" s="26" t="s">
        <v>16</v>
      </c>
      <c r="D175" s="7">
        <v>2</v>
      </c>
      <c r="E175" s="7"/>
      <c r="F175" s="7">
        <f>E175*D175</f>
        <v>0</v>
      </c>
      <c r="G175" s="7"/>
      <c r="H175" s="7">
        <f>G175*D175</f>
        <v>0</v>
      </c>
      <c r="I175" s="7"/>
      <c r="J175" s="8">
        <f>I175*D175</f>
        <v>0</v>
      </c>
      <c r="K175" s="176">
        <f t="shared" ref="K175" si="37">J175+H175+F175</f>
        <v>0</v>
      </c>
    </row>
    <row r="176" spans="1:11" x14ac:dyDescent="0.35">
      <c r="A176" s="82"/>
      <c r="B176" s="79" t="s">
        <v>87</v>
      </c>
      <c r="C176" s="80"/>
      <c r="D176" s="7"/>
      <c r="E176" s="7"/>
      <c r="F176" s="81">
        <f>SUM(F116:F175)</f>
        <v>0</v>
      </c>
      <c r="G176" s="132"/>
      <c r="H176" s="81">
        <f>SUM(H116:H175)</f>
        <v>0</v>
      </c>
      <c r="I176" s="81"/>
      <c r="J176" s="133">
        <f>SUM(J116:J175)</f>
        <v>0</v>
      </c>
      <c r="K176" s="179">
        <f>SUM(K116:K175)</f>
        <v>0</v>
      </c>
    </row>
    <row r="177" spans="1:12" x14ac:dyDescent="0.35">
      <c r="A177" s="30"/>
      <c r="B177" s="31" t="s">
        <v>67</v>
      </c>
      <c r="C177" s="32" t="s">
        <v>484</v>
      </c>
      <c r="D177" s="33"/>
      <c r="E177" s="33"/>
      <c r="F177" s="33"/>
      <c r="G177" s="33"/>
      <c r="H177" s="33"/>
      <c r="I177" s="33"/>
      <c r="J177" s="33"/>
      <c r="K177" s="180" t="e">
        <f>F176*C177</f>
        <v>#VALUE!</v>
      </c>
    </row>
    <row r="178" spans="1:12" x14ac:dyDescent="0.35">
      <c r="A178" s="30"/>
      <c r="B178" s="35" t="s">
        <v>9</v>
      </c>
      <c r="C178" s="143"/>
      <c r="D178" s="33"/>
      <c r="E178" s="33"/>
      <c r="F178" s="33"/>
      <c r="G178" s="33"/>
      <c r="H178" s="33"/>
      <c r="I178" s="33"/>
      <c r="J178" s="33"/>
      <c r="K178" s="180" t="e">
        <f>SUM(K176:K177)</f>
        <v>#VALUE!</v>
      </c>
    </row>
    <row r="179" spans="1:12" x14ac:dyDescent="0.35">
      <c r="A179" s="30"/>
      <c r="B179" s="31" t="s">
        <v>68</v>
      </c>
      <c r="C179" s="32" t="s">
        <v>484</v>
      </c>
      <c r="D179" s="33"/>
      <c r="E179" s="33"/>
      <c r="F179" s="33"/>
      <c r="G179" s="33"/>
      <c r="H179" s="33"/>
      <c r="I179" s="33"/>
      <c r="J179" s="33"/>
      <c r="K179" s="180" t="e">
        <f>K178*C179</f>
        <v>#VALUE!</v>
      </c>
    </row>
    <row r="180" spans="1:12" x14ac:dyDescent="0.35">
      <c r="A180" s="30"/>
      <c r="B180" s="35" t="s">
        <v>9</v>
      </c>
      <c r="C180" s="143"/>
      <c r="D180" s="33"/>
      <c r="E180" s="33"/>
      <c r="F180" s="33"/>
      <c r="G180" s="33"/>
      <c r="H180" s="33"/>
      <c r="I180" s="33"/>
      <c r="J180" s="33"/>
      <c r="K180" s="180" t="e">
        <f>SUM(K178:K179)</f>
        <v>#VALUE!</v>
      </c>
    </row>
    <row r="181" spans="1:12" x14ac:dyDescent="0.35">
      <c r="A181" s="30"/>
      <c r="B181" s="31" t="s">
        <v>69</v>
      </c>
      <c r="C181" s="32" t="s">
        <v>484</v>
      </c>
      <c r="D181" s="33"/>
      <c r="E181" s="33"/>
      <c r="F181" s="33"/>
      <c r="G181" s="33"/>
      <c r="H181" s="33"/>
      <c r="I181" s="33"/>
      <c r="J181" s="33"/>
      <c r="K181" s="180" t="e">
        <f>K180*C181</f>
        <v>#VALUE!</v>
      </c>
    </row>
    <row r="182" spans="1:12" x14ac:dyDescent="0.35">
      <c r="A182" s="36"/>
      <c r="B182" s="35" t="s">
        <v>9</v>
      </c>
      <c r="C182" s="143"/>
      <c r="D182" s="33"/>
      <c r="E182" s="33"/>
      <c r="F182" s="33"/>
      <c r="G182" s="33"/>
      <c r="H182" s="33"/>
      <c r="I182" s="33"/>
      <c r="J182" s="33"/>
      <c r="K182" s="180" t="e">
        <f>SUM(K180:K181)</f>
        <v>#VALUE!</v>
      </c>
    </row>
    <row r="183" spans="1:12" ht="29" x14ac:dyDescent="0.35">
      <c r="A183" s="36"/>
      <c r="B183" s="31" t="s">
        <v>70</v>
      </c>
      <c r="C183" s="37" t="s">
        <v>484</v>
      </c>
      <c r="D183" s="33"/>
      <c r="E183" s="33"/>
      <c r="F183" s="33"/>
      <c r="G183" s="33"/>
      <c r="H183" s="33"/>
      <c r="I183" s="33"/>
      <c r="J183" s="33"/>
      <c r="K183" s="180" t="e">
        <f>K182*C183</f>
        <v>#VALUE!</v>
      </c>
      <c r="L183" s="262" t="s">
        <v>461</v>
      </c>
    </row>
    <row r="184" spans="1:12" x14ac:dyDescent="0.35">
      <c r="A184" s="36"/>
      <c r="B184" s="31" t="s">
        <v>71</v>
      </c>
      <c r="C184" s="37">
        <v>0.02</v>
      </c>
      <c r="D184" s="33"/>
      <c r="E184" s="33"/>
      <c r="F184" s="33"/>
      <c r="G184" s="33"/>
      <c r="H184" s="33"/>
      <c r="I184" s="33"/>
      <c r="J184" s="33"/>
      <c r="K184" s="180">
        <f>H176*C184</f>
        <v>0</v>
      </c>
    </row>
    <row r="185" spans="1:12" x14ac:dyDescent="0.35">
      <c r="A185" s="30"/>
      <c r="B185" s="38" t="s">
        <v>9</v>
      </c>
      <c r="C185" s="143"/>
      <c r="D185" s="33"/>
      <c r="E185" s="33"/>
      <c r="F185" s="33"/>
      <c r="G185" s="33"/>
      <c r="H185" s="33"/>
      <c r="I185" s="33"/>
      <c r="J185" s="33"/>
      <c r="K185" s="180" t="e">
        <f>SUM(K182:K184)</f>
        <v>#VALUE!</v>
      </c>
    </row>
    <row r="186" spans="1:12" x14ac:dyDescent="0.35">
      <c r="A186" s="30"/>
      <c r="B186" s="29" t="s">
        <v>72</v>
      </c>
      <c r="C186" s="32">
        <v>0.18</v>
      </c>
      <c r="D186" s="33"/>
      <c r="E186" s="33"/>
      <c r="F186" s="33"/>
      <c r="G186" s="33"/>
      <c r="H186" s="33"/>
      <c r="I186" s="33"/>
      <c r="J186" s="33"/>
      <c r="K186" s="180" t="e">
        <f>K185*C186</f>
        <v>#VALUE!</v>
      </c>
    </row>
    <row r="187" spans="1:12" x14ac:dyDescent="0.35">
      <c r="A187" s="280"/>
      <c r="B187" s="281" t="s">
        <v>341</v>
      </c>
      <c r="C187" s="282"/>
      <c r="D187" s="283"/>
      <c r="E187" s="283"/>
      <c r="F187" s="283"/>
      <c r="G187" s="283"/>
      <c r="H187" s="283"/>
      <c r="I187" s="283"/>
      <c r="J187" s="283"/>
      <c r="K187" s="284" t="e">
        <f>SUM(K185:K186)</f>
        <v>#VALUE!</v>
      </c>
    </row>
    <row r="188" spans="1:12" x14ac:dyDescent="0.35">
      <c r="A188" s="68"/>
      <c r="B188" s="68"/>
      <c r="C188" s="68"/>
      <c r="D188" s="106"/>
      <c r="E188" s="68"/>
      <c r="F188" s="68"/>
      <c r="G188" s="68"/>
      <c r="H188" s="68"/>
      <c r="I188" s="68"/>
      <c r="J188" s="68"/>
      <c r="K188" s="182"/>
    </row>
    <row r="189" spans="1:12" x14ac:dyDescent="0.35">
      <c r="A189" s="68"/>
      <c r="B189" s="68"/>
      <c r="C189" s="68"/>
      <c r="D189" s="106"/>
      <c r="E189" s="68"/>
      <c r="F189" s="68"/>
      <c r="G189" s="68"/>
      <c r="H189" s="68"/>
      <c r="I189" s="68"/>
      <c r="J189" s="68"/>
      <c r="K189" s="182"/>
    </row>
    <row r="190" spans="1:12" ht="16" x14ac:dyDescent="0.35">
      <c r="A190" s="113"/>
      <c r="B190" s="75" t="s">
        <v>337</v>
      </c>
      <c r="C190" s="113"/>
      <c r="D190" s="114"/>
      <c r="E190" s="113"/>
      <c r="F190" s="113"/>
      <c r="G190" s="113"/>
      <c r="H190" s="113"/>
      <c r="I190" s="113"/>
      <c r="J190" s="113"/>
      <c r="K190" s="183" t="e">
        <f>SUM(K187,K109)</f>
        <v>#VALUE!</v>
      </c>
    </row>
  </sheetData>
  <mergeCells count="39">
    <mergeCell ref="A161:A164"/>
    <mergeCell ref="A165:A168"/>
    <mergeCell ref="A133:A137"/>
    <mergeCell ref="A142:A150"/>
    <mergeCell ref="A151:A155"/>
    <mergeCell ref="A111:K111"/>
    <mergeCell ref="A112:A113"/>
    <mergeCell ref="B112:B113"/>
    <mergeCell ref="C112:C113"/>
    <mergeCell ref="D112:D113"/>
    <mergeCell ref="E112:F112"/>
    <mergeCell ref="G112:H112"/>
    <mergeCell ref="I112:J112"/>
    <mergeCell ref="K112:K113"/>
    <mergeCell ref="A84:A87"/>
    <mergeCell ref="K6:K7"/>
    <mergeCell ref="A32:A35"/>
    <mergeCell ref="A36:A38"/>
    <mergeCell ref="A39:A43"/>
    <mergeCell ref="A45:A49"/>
    <mergeCell ref="A51:A59"/>
    <mergeCell ref="A60:A64"/>
    <mergeCell ref="A65:A67"/>
    <mergeCell ref="A68:A71"/>
    <mergeCell ref="A72:A76"/>
    <mergeCell ref="A82:A83"/>
    <mergeCell ref="A5:K5"/>
    <mergeCell ref="A6:A7"/>
    <mergeCell ref="B6:B7"/>
    <mergeCell ref="C6:C7"/>
    <mergeCell ref="D6:D7"/>
    <mergeCell ref="E6:F6"/>
    <mergeCell ref="G6:H6"/>
    <mergeCell ref="I6:J6"/>
    <mergeCell ref="B1:J1"/>
    <mergeCell ref="B2:J2"/>
    <mergeCell ref="A3:C3"/>
    <mergeCell ref="D3:H3"/>
    <mergeCell ref="I3:J3"/>
  </mergeCells>
  <pageMargins left="0.45" right="0.45" top="0.5" bottom="0.5" header="0.3" footer="0.3"/>
  <pageSetup scale="84" orientation="landscape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K76"/>
  <sheetViews>
    <sheetView topLeftCell="A57" zoomScaleNormal="100" workbookViewId="0">
      <selection activeCell="C70" sqref="C70"/>
    </sheetView>
  </sheetViews>
  <sheetFormatPr defaultColWidth="9.08984375" defaultRowHeight="14.5" x14ac:dyDescent="0.35"/>
  <cols>
    <col min="1" max="1" width="4.54296875" style="1" customWidth="1"/>
    <col min="2" max="2" width="53.08984375" style="1" customWidth="1"/>
    <col min="3" max="3" width="7.54296875" style="1" customWidth="1"/>
    <col min="4" max="4" width="10.90625" style="76" customWidth="1"/>
    <col min="5" max="5" width="8.90625" style="1" customWidth="1"/>
    <col min="6" max="6" width="12.36328125" style="1" customWidth="1"/>
    <col min="7" max="7" width="8.453125" style="1" customWidth="1"/>
    <col min="8" max="8" width="12.6328125" style="1" customWidth="1"/>
    <col min="9" max="9" width="8" style="1" customWidth="1"/>
    <col min="10" max="10" width="11.36328125" style="1" customWidth="1"/>
    <col min="11" max="11" width="15.36328125" style="1" customWidth="1"/>
    <col min="12" max="16384" width="9.08984375" style="1"/>
  </cols>
  <sheetData>
    <row r="1" spans="1:11" s="77" customFormat="1" ht="20.149999999999999" customHeight="1" x14ac:dyDescent="0.35">
      <c r="B1" s="368" t="s">
        <v>345</v>
      </c>
      <c r="C1" s="369"/>
      <c r="D1" s="369"/>
      <c r="E1" s="369"/>
      <c r="F1" s="369"/>
      <c r="G1" s="369"/>
      <c r="H1" s="369"/>
      <c r="I1" s="369"/>
      <c r="J1" s="369"/>
    </row>
    <row r="2" spans="1:11" s="77" customFormat="1" ht="20.149999999999999" customHeight="1" x14ac:dyDescent="0.35">
      <c r="B2" s="336" t="s">
        <v>368</v>
      </c>
      <c r="C2" s="336"/>
      <c r="D2" s="336"/>
      <c r="E2" s="336"/>
      <c r="F2" s="336"/>
      <c r="G2" s="336"/>
      <c r="H2" s="336"/>
      <c r="I2" s="336"/>
      <c r="J2" s="336"/>
    </row>
    <row r="3" spans="1:11" s="77" customFormat="1" ht="20.149999999999999" customHeight="1" x14ac:dyDescent="0.35">
      <c r="A3" s="370"/>
      <c r="B3" s="371"/>
      <c r="C3" s="372"/>
      <c r="D3" s="373" t="s">
        <v>380</v>
      </c>
      <c r="E3" s="373"/>
      <c r="F3" s="373"/>
      <c r="G3" s="373"/>
      <c r="H3" s="373"/>
      <c r="I3" s="374" t="e">
        <f>K76</f>
        <v>#VALUE!</v>
      </c>
      <c r="J3" s="375"/>
      <c r="K3" s="109" t="s">
        <v>1</v>
      </c>
    </row>
    <row r="4" spans="1:11" s="77" customFormat="1" ht="20.149999999999999" customHeight="1" x14ac:dyDescent="0.35">
      <c r="A4" s="241"/>
      <c r="B4" s="341" t="s">
        <v>231</v>
      </c>
      <c r="C4" s="341"/>
      <c r="D4" s="341"/>
      <c r="E4" s="341"/>
      <c r="F4" s="341"/>
      <c r="G4" s="341"/>
      <c r="H4" s="341"/>
      <c r="I4" s="341"/>
      <c r="J4" s="341"/>
      <c r="K4" s="342"/>
    </row>
    <row r="5" spans="1:11" ht="20.149999999999999" customHeight="1" x14ac:dyDescent="0.35">
      <c r="A5" s="343" t="s">
        <v>2</v>
      </c>
      <c r="B5" s="343" t="s">
        <v>3</v>
      </c>
      <c r="C5" s="343" t="s">
        <v>4</v>
      </c>
      <c r="D5" s="345" t="s">
        <v>5</v>
      </c>
      <c r="E5" s="347" t="s">
        <v>6</v>
      </c>
      <c r="F5" s="348"/>
      <c r="G5" s="349" t="s">
        <v>7</v>
      </c>
      <c r="H5" s="350"/>
      <c r="I5" s="351" t="s">
        <v>8</v>
      </c>
      <c r="J5" s="352"/>
      <c r="K5" s="345" t="s">
        <v>9</v>
      </c>
    </row>
    <row r="6" spans="1:11" ht="27" x14ac:dyDescent="0.35">
      <c r="A6" s="344"/>
      <c r="B6" s="344"/>
      <c r="C6" s="344"/>
      <c r="D6" s="346"/>
      <c r="E6" s="116" t="s">
        <v>10</v>
      </c>
      <c r="F6" s="140" t="s">
        <v>9</v>
      </c>
      <c r="G6" s="141" t="s">
        <v>10</v>
      </c>
      <c r="H6" s="140" t="s">
        <v>9</v>
      </c>
      <c r="I6" s="141" t="s">
        <v>10</v>
      </c>
      <c r="J6" s="140" t="s">
        <v>11</v>
      </c>
      <c r="K6" s="376"/>
    </row>
    <row r="7" spans="1:11" x14ac:dyDescent="0.35">
      <c r="A7" s="2">
        <v>1</v>
      </c>
      <c r="B7" s="2">
        <v>2</v>
      </c>
      <c r="C7" s="2">
        <v>3</v>
      </c>
      <c r="D7" s="3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4">
        <v>10</v>
      </c>
      <c r="K7" s="2">
        <v>11</v>
      </c>
    </row>
    <row r="8" spans="1:11" x14ac:dyDescent="0.35">
      <c r="A8" s="263"/>
      <c r="B8" s="264" t="s">
        <v>172</v>
      </c>
      <c r="C8" s="265"/>
      <c r="D8" s="83"/>
      <c r="E8" s="265"/>
      <c r="F8" s="265"/>
      <c r="G8" s="265"/>
      <c r="H8" s="265"/>
      <c r="I8" s="265"/>
      <c r="J8" s="266"/>
      <c r="K8" s="265"/>
    </row>
    <row r="9" spans="1:11" ht="27" x14ac:dyDescent="0.35">
      <c r="A9" s="11">
        <v>3</v>
      </c>
      <c r="B9" s="9" t="s">
        <v>173</v>
      </c>
      <c r="C9" s="2" t="s">
        <v>174</v>
      </c>
      <c r="D9" s="142">
        <v>30</v>
      </c>
      <c r="E9" s="2"/>
      <c r="F9" s="142"/>
      <c r="G9" s="142"/>
      <c r="H9" s="142">
        <f t="shared" ref="H9:H20" si="0">G9*D9</f>
        <v>0</v>
      </c>
      <c r="I9" s="142"/>
      <c r="J9" s="10">
        <f t="shared" ref="J9:J12" si="1">I9*D9</f>
        <v>0</v>
      </c>
      <c r="K9" s="142">
        <f t="shared" ref="K9:K21" si="2">J9+H9+F9</f>
        <v>0</v>
      </c>
    </row>
    <row r="10" spans="1:11" ht="27" x14ac:dyDescent="0.35">
      <c r="A10" s="11">
        <v>4</v>
      </c>
      <c r="B10" s="9" t="s">
        <v>18</v>
      </c>
      <c r="C10" s="2" t="s">
        <v>174</v>
      </c>
      <c r="D10" s="142">
        <v>7</v>
      </c>
      <c r="E10" s="2"/>
      <c r="F10" s="142"/>
      <c r="G10" s="142"/>
      <c r="H10" s="142">
        <f t="shared" si="0"/>
        <v>0</v>
      </c>
      <c r="I10" s="142"/>
      <c r="J10" s="10">
        <f t="shared" si="1"/>
        <v>0</v>
      </c>
      <c r="K10" s="142">
        <f t="shared" si="2"/>
        <v>0</v>
      </c>
    </row>
    <row r="11" spans="1:11" x14ac:dyDescent="0.35">
      <c r="A11" s="11">
        <v>5</v>
      </c>
      <c r="B11" s="9" t="s">
        <v>351</v>
      </c>
      <c r="C11" s="2" t="s">
        <v>13</v>
      </c>
      <c r="D11" s="142">
        <v>33.700000000000003</v>
      </c>
      <c r="E11" s="142"/>
      <c r="F11" s="142"/>
      <c r="G11" s="142"/>
      <c r="H11" s="142">
        <f t="shared" si="0"/>
        <v>0</v>
      </c>
      <c r="I11" s="142"/>
      <c r="J11" s="10">
        <f t="shared" si="1"/>
        <v>0</v>
      </c>
      <c r="K11" s="142">
        <f t="shared" si="2"/>
        <v>0</v>
      </c>
    </row>
    <row r="12" spans="1:11" ht="27" x14ac:dyDescent="0.35">
      <c r="A12" s="11">
        <v>6</v>
      </c>
      <c r="B12" s="9" t="s">
        <v>88</v>
      </c>
      <c r="C12" s="2" t="s">
        <v>13</v>
      </c>
      <c r="D12" s="142">
        <v>155</v>
      </c>
      <c r="E12" s="142"/>
      <c r="F12" s="142"/>
      <c r="G12" s="142"/>
      <c r="H12" s="142">
        <f t="shared" si="0"/>
        <v>0</v>
      </c>
      <c r="I12" s="142"/>
      <c r="J12" s="10">
        <f t="shared" si="1"/>
        <v>0</v>
      </c>
      <c r="K12" s="142">
        <f t="shared" si="2"/>
        <v>0</v>
      </c>
    </row>
    <row r="13" spans="1:11" x14ac:dyDescent="0.35">
      <c r="A13" s="11">
        <v>7</v>
      </c>
      <c r="B13" s="9" t="s">
        <v>175</v>
      </c>
      <c r="C13" s="2" t="s">
        <v>174</v>
      </c>
      <c r="D13" s="142">
        <v>10</v>
      </c>
      <c r="E13" s="2"/>
      <c r="F13" s="142"/>
      <c r="G13" s="142"/>
      <c r="H13" s="142">
        <f t="shared" si="0"/>
        <v>0</v>
      </c>
      <c r="I13" s="142"/>
      <c r="J13" s="10"/>
      <c r="K13" s="142">
        <f t="shared" si="2"/>
        <v>0</v>
      </c>
    </row>
    <row r="14" spans="1:11" x14ac:dyDescent="0.35">
      <c r="A14" s="11">
        <v>8</v>
      </c>
      <c r="B14" s="9" t="s">
        <v>176</v>
      </c>
      <c r="C14" s="2" t="s">
        <v>174</v>
      </c>
      <c r="D14" s="142">
        <v>10</v>
      </c>
      <c r="E14" s="2"/>
      <c r="F14" s="142"/>
      <c r="G14" s="142"/>
      <c r="H14" s="142">
        <f t="shared" si="0"/>
        <v>0</v>
      </c>
      <c r="I14" s="142"/>
      <c r="J14" s="10"/>
      <c r="K14" s="142">
        <f t="shared" si="2"/>
        <v>0</v>
      </c>
    </row>
    <row r="15" spans="1:11" ht="27" x14ac:dyDescent="0.35">
      <c r="A15" s="11">
        <v>12</v>
      </c>
      <c r="B15" s="13" t="s">
        <v>349</v>
      </c>
      <c r="C15" s="2" t="s">
        <v>20</v>
      </c>
      <c r="D15" s="142">
        <v>10</v>
      </c>
      <c r="E15" s="2"/>
      <c r="F15" s="142"/>
      <c r="G15" s="142"/>
      <c r="H15" s="142">
        <f t="shared" si="0"/>
        <v>0</v>
      </c>
      <c r="I15" s="142"/>
      <c r="J15" s="10">
        <f t="shared" ref="J15:J17" si="3">I15*D15</f>
        <v>0</v>
      </c>
      <c r="K15" s="142">
        <f t="shared" si="2"/>
        <v>0</v>
      </c>
    </row>
    <row r="16" spans="1:11" x14ac:dyDescent="0.35">
      <c r="A16" s="11">
        <v>13</v>
      </c>
      <c r="B16" s="13" t="s">
        <v>350</v>
      </c>
      <c r="C16" s="2" t="s">
        <v>22</v>
      </c>
      <c r="D16" s="142">
        <v>86</v>
      </c>
      <c r="E16" s="2"/>
      <c r="F16" s="142"/>
      <c r="G16" s="142"/>
      <c r="H16" s="142">
        <f t="shared" si="0"/>
        <v>0</v>
      </c>
      <c r="I16" s="142"/>
      <c r="J16" s="10">
        <f t="shared" si="3"/>
        <v>0</v>
      </c>
      <c r="K16" s="142">
        <f t="shared" si="2"/>
        <v>0</v>
      </c>
    </row>
    <row r="17" spans="1:11" ht="27" x14ac:dyDescent="0.35">
      <c r="A17" s="11">
        <v>17</v>
      </c>
      <c r="B17" s="13" t="s">
        <v>179</v>
      </c>
      <c r="C17" s="2" t="s">
        <v>13</v>
      </c>
      <c r="D17" s="142">
        <v>15.9</v>
      </c>
      <c r="E17" s="142"/>
      <c r="F17" s="142"/>
      <c r="G17" s="142"/>
      <c r="H17" s="142">
        <f t="shared" si="0"/>
        <v>0</v>
      </c>
      <c r="I17" s="142"/>
      <c r="J17" s="10">
        <f t="shared" si="3"/>
        <v>0</v>
      </c>
      <c r="K17" s="142">
        <f t="shared" si="2"/>
        <v>0</v>
      </c>
    </row>
    <row r="18" spans="1:11" ht="40.5" x14ac:dyDescent="0.35">
      <c r="A18" s="11">
        <v>18</v>
      </c>
      <c r="B18" s="13" t="s">
        <v>180</v>
      </c>
      <c r="C18" s="2" t="s">
        <v>13</v>
      </c>
      <c r="D18" s="142">
        <v>69.44</v>
      </c>
      <c r="E18" s="142"/>
      <c r="F18" s="142"/>
      <c r="G18" s="142"/>
      <c r="H18" s="142">
        <f t="shared" si="0"/>
        <v>0</v>
      </c>
      <c r="I18" s="142"/>
      <c r="J18" s="10"/>
      <c r="K18" s="142">
        <f t="shared" si="2"/>
        <v>0</v>
      </c>
    </row>
    <row r="19" spans="1:11" ht="27" x14ac:dyDescent="0.35">
      <c r="A19" s="11">
        <v>19</v>
      </c>
      <c r="B19" s="13" t="s">
        <v>181</v>
      </c>
      <c r="C19" s="2" t="s">
        <v>174</v>
      </c>
      <c r="D19" s="142">
        <v>15</v>
      </c>
      <c r="E19" s="142"/>
      <c r="F19" s="142"/>
      <c r="G19" s="142"/>
      <c r="H19" s="142">
        <f t="shared" si="0"/>
        <v>0</v>
      </c>
      <c r="I19" s="142"/>
      <c r="J19" s="10">
        <f>I19*D19</f>
        <v>0</v>
      </c>
      <c r="K19" s="142">
        <f t="shared" si="2"/>
        <v>0</v>
      </c>
    </row>
    <row r="20" spans="1:11" ht="27" x14ac:dyDescent="0.35">
      <c r="A20" s="11">
        <v>20</v>
      </c>
      <c r="B20" s="16" t="s">
        <v>165</v>
      </c>
      <c r="C20" s="2" t="s">
        <v>29</v>
      </c>
      <c r="D20" s="142">
        <v>4.0999999999999996</v>
      </c>
      <c r="E20" s="142"/>
      <c r="F20" s="142"/>
      <c r="G20" s="142"/>
      <c r="H20" s="142">
        <f t="shared" si="0"/>
        <v>0</v>
      </c>
      <c r="I20" s="142"/>
      <c r="J20" s="10">
        <f>I20*D20</f>
        <v>0</v>
      </c>
      <c r="K20" s="142">
        <f t="shared" si="2"/>
        <v>0</v>
      </c>
    </row>
    <row r="21" spans="1:11" x14ac:dyDescent="0.35">
      <c r="A21" s="11">
        <v>21</v>
      </c>
      <c r="B21" s="16" t="s">
        <v>31</v>
      </c>
      <c r="C21" s="2" t="s">
        <v>32</v>
      </c>
      <c r="D21" s="142">
        <v>75.31</v>
      </c>
      <c r="E21" s="142"/>
      <c r="F21" s="142"/>
      <c r="G21" s="142"/>
      <c r="H21" s="142"/>
      <c r="I21" s="142"/>
      <c r="J21" s="10">
        <f>I21*D21</f>
        <v>0</v>
      </c>
      <c r="K21" s="142">
        <f t="shared" si="2"/>
        <v>0</v>
      </c>
    </row>
    <row r="22" spans="1:11" x14ac:dyDescent="0.35">
      <c r="A22" s="267"/>
      <c r="B22" s="268" t="s">
        <v>170</v>
      </c>
      <c r="C22" s="269"/>
      <c r="D22" s="270"/>
      <c r="E22" s="271"/>
      <c r="F22" s="272"/>
      <c r="G22" s="273"/>
      <c r="H22" s="272"/>
      <c r="I22" s="273"/>
      <c r="J22" s="274"/>
      <c r="K22" s="275"/>
    </row>
    <row r="23" spans="1:11" x14ac:dyDescent="0.35">
      <c r="A23" s="70"/>
      <c r="B23" s="242" t="s">
        <v>167</v>
      </c>
      <c r="C23" s="2"/>
      <c r="D23" s="142"/>
      <c r="E23" s="2"/>
      <c r="F23" s="70"/>
      <c r="G23" s="142"/>
      <c r="H23" s="142"/>
      <c r="I23" s="142"/>
      <c r="J23" s="243"/>
      <c r="K23" s="70"/>
    </row>
    <row r="24" spans="1:11" x14ac:dyDescent="0.35">
      <c r="A24" s="70"/>
      <c r="B24" s="244" t="s">
        <v>182</v>
      </c>
      <c r="C24" s="2"/>
      <c r="D24" s="142"/>
      <c r="E24" s="142"/>
      <c r="F24" s="142"/>
      <c r="G24" s="142"/>
      <c r="H24" s="142"/>
      <c r="I24" s="142"/>
      <c r="J24" s="142"/>
      <c r="K24" s="142"/>
    </row>
    <row r="25" spans="1:11" ht="27" x14ac:dyDescent="0.35">
      <c r="A25" s="353" t="s">
        <v>25</v>
      </c>
      <c r="B25" s="17" t="s">
        <v>472</v>
      </c>
      <c r="C25" s="18" t="s">
        <v>13</v>
      </c>
      <c r="D25" s="230">
        <v>101.36</v>
      </c>
      <c r="E25" s="142"/>
      <c r="F25" s="142"/>
      <c r="G25" s="142"/>
      <c r="H25" s="142">
        <f>G25*D25</f>
        <v>0</v>
      </c>
      <c r="I25" s="142"/>
      <c r="J25" s="142">
        <f>I25*D25</f>
        <v>0</v>
      </c>
      <c r="K25" s="142">
        <f t="shared" ref="K25:K28" si="4">J25+H25+F25</f>
        <v>0</v>
      </c>
    </row>
    <row r="26" spans="1:11" x14ac:dyDescent="0.35">
      <c r="A26" s="354"/>
      <c r="B26" s="13" t="s">
        <v>352</v>
      </c>
      <c r="C26" s="2" t="s">
        <v>13</v>
      </c>
      <c r="D26" s="142">
        <f>D25*1.05</f>
        <v>106.428</v>
      </c>
      <c r="E26" s="142"/>
      <c r="F26" s="142">
        <f>E26*D26</f>
        <v>0</v>
      </c>
      <c r="G26" s="142"/>
      <c r="H26" s="142">
        <f>G26*D26</f>
        <v>0</v>
      </c>
      <c r="I26" s="142"/>
      <c r="J26" s="142"/>
      <c r="K26" s="142">
        <f t="shared" si="4"/>
        <v>0</v>
      </c>
    </row>
    <row r="27" spans="1:11" x14ac:dyDescent="0.35">
      <c r="A27" s="355"/>
      <c r="B27" s="13" t="s">
        <v>185</v>
      </c>
      <c r="C27" s="2" t="s">
        <v>186</v>
      </c>
      <c r="D27" s="142">
        <f>D25</f>
        <v>101.36</v>
      </c>
      <c r="E27" s="142"/>
      <c r="F27" s="142">
        <f>E27*D27</f>
        <v>0</v>
      </c>
      <c r="G27" s="142"/>
      <c r="H27" s="142">
        <f>G27*D27</f>
        <v>0</v>
      </c>
      <c r="I27" s="142"/>
      <c r="J27" s="142"/>
      <c r="K27" s="142">
        <f t="shared" si="4"/>
        <v>0</v>
      </c>
    </row>
    <row r="28" spans="1:11" x14ac:dyDescent="0.35">
      <c r="A28" s="166"/>
      <c r="B28" s="13" t="s">
        <v>38</v>
      </c>
      <c r="C28" s="2" t="s">
        <v>1</v>
      </c>
      <c r="D28" s="142">
        <v>23.853999999999999</v>
      </c>
      <c r="E28" s="142"/>
      <c r="F28" s="142">
        <f>E28*D28</f>
        <v>0</v>
      </c>
      <c r="G28" s="142"/>
      <c r="H28" s="142"/>
      <c r="I28" s="142"/>
      <c r="J28" s="142"/>
      <c r="K28" s="142">
        <f t="shared" si="4"/>
        <v>0</v>
      </c>
    </row>
    <row r="29" spans="1:11" x14ac:dyDescent="0.35">
      <c r="A29" s="276" t="s">
        <v>186</v>
      </c>
      <c r="B29" s="277" t="s">
        <v>187</v>
      </c>
      <c r="C29" s="278"/>
      <c r="D29" s="279"/>
      <c r="E29" s="279"/>
      <c r="F29" s="279"/>
      <c r="G29" s="279"/>
      <c r="H29" s="279"/>
      <c r="I29" s="279"/>
      <c r="J29" s="279"/>
      <c r="K29" s="279"/>
    </row>
    <row r="30" spans="1:11" ht="27" x14ac:dyDescent="0.35">
      <c r="A30" s="353" t="s">
        <v>30</v>
      </c>
      <c r="B30" s="17" t="s">
        <v>471</v>
      </c>
      <c r="C30" s="18" t="s">
        <v>13</v>
      </c>
      <c r="D30" s="230">
        <v>143</v>
      </c>
      <c r="E30" s="142"/>
      <c r="F30" s="142"/>
      <c r="G30" s="142"/>
      <c r="H30" s="142">
        <f>G30*D30</f>
        <v>0</v>
      </c>
      <c r="I30" s="142"/>
      <c r="J30" s="142">
        <f>I30*D30</f>
        <v>0</v>
      </c>
      <c r="K30" s="142">
        <f t="shared" ref="K30:K46" si="5">J30+H30+F30</f>
        <v>0</v>
      </c>
    </row>
    <row r="31" spans="1:11" x14ac:dyDescent="0.35">
      <c r="A31" s="354"/>
      <c r="B31" s="13" t="s">
        <v>353</v>
      </c>
      <c r="C31" s="2" t="s">
        <v>40</v>
      </c>
      <c r="D31" s="142">
        <f>0.35*D30</f>
        <v>50.05</v>
      </c>
      <c r="E31" s="142"/>
      <c r="F31" s="142">
        <f t="shared" ref="F31:F38" si="6">E31*D31</f>
        <v>0</v>
      </c>
      <c r="G31" s="142"/>
      <c r="H31" s="142"/>
      <c r="I31" s="142"/>
      <c r="J31" s="142"/>
      <c r="K31" s="142">
        <f t="shared" si="5"/>
        <v>0</v>
      </c>
    </row>
    <row r="32" spans="1:11" x14ac:dyDescent="0.35">
      <c r="A32" s="354"/>
      <c r="B32" s="13" t="s">
        <v>354</v>
      </c>
      <c r="C32" s="2" t="s">
        <v>40</v>
      </c>
      <c r="D32" s="142">
        <f>0.4*D30</f>
        <v>57.2</v>
      </c>
      <c r="E32" s="142"/>
      <c r="F32" s="142">
        <f t="shared" si="6"/>
        <v>0</v>
      </c>
      <c r="G32" s="142"/>
      <c r="H32" s="142"/>
      <c r="I32" s="142"/>
      <c r="J32" s="142"/>
      <c r="K32" s="142">
        <f t="shared" si="5"/>
        <v>0</v>
      </c>
    </row>
    <row r="33" spans="1:11" x14ac:dyDescent="0.35">
      <c r="A33" s="354"/>
      <c r="B33" s="13" t="s">
        <v>355</v>
      </c>
      <c r="C33" s="2" t="s">
        <v>40</v>
      </c>
      <c r="D33" s="142">
        <f>0.15*D30</f>
        <v>21.45</v>
      </c>
      <c r="E33" s="142"/>
      <c r="F33" s="142">
        <f t="shared" si="6"/>
        <v>0</v>
      </c>
      <c r="G33" s="142"/>
      <c r="H33" s="142"/>
      <c r="I33" s="142"/>
      <c r="J33" s="142"/>
      <c r="K33" s="142">
        <f t="shared" si="5"/>
        <v>0</v>
      </c>
    </row>
    <row r="34" spans="1:11" x14ac:dyDescent="0.35">
      <c r="A34" s="354"/>
      <c r="B34" s="13" t="s">
        <v>356</v>
      </c>
      <c r="C34" s="2" t="s">
        <v>40</v>
      </c>
      <c r="D34" s="142">
        <f>0.08*D30</f>
        <v>11.44</v>
      </c>
      <c r="E34" s="142"/>
      <c r="F34" s="142">
        <f t="shared" si="6"/>
        <v>0</v>
      </c>
      <c r="G34" s="142"/>
      <c r="H34" s="142"/>
      <c r="I34" s="142"/>
      <c r="J34" s="142"/>
      <c r="K34" s="142">
        <f t="shared" si="5"/>
        <v>0</v>
      </c>
    </row>
    <row r="35" spans="1:11" x14ac:dyDescent="0.35">
      <c r="A35" s="354"/>
      <c r="B35" s="13" t="s">
        <v>357</v>
      </c>
      <c r="C35" s="2" t="s">
        <v>13</v>
      </c>
      <c r="D35" s="142">
        <f>0.009*D30</f>
        <v>1.2869999999999999</v>
      </c>
      <c r="E35" s="142"/>
      <c r="F35" s="142">
        <f t="shared" si="6"/>
        <v>0</v>
      </c>
      <c r="G35" s="142"/>
      <c r="H35" s="142"/>
      <c r="I35" s="142"/>
      <c r="J35" s="142"/>
      <c r="K35" s="142">
        <f t="shared" si="5"/>
        <v>0</v>
      </c>
    </row>
    <row r="36" spans="1:11" x14ac:dyDescent="0.35">
      <c r="A36" s="354"/>
      <c r="B36" s="13" t="s">
        <v>358</v>
      </c>
      <c r="C36" s="2" t="s">
        <v>22</v>
      </c>
      <c r="D36" s="142">
        <f>0.4*D30</f>
        <v>57.2</v>
      </c>
      <c r="E36" s="142"/>
      <c r="F36" s="142">
        <f t="shared" si="6"/>
        <v>0</v>
      </c>
      <c r="G36" s="142"/>
      <c r="H36" s="142"/>
      <c r="I36" s="142"/>
      <c r="J36" s="142"/>
      <c r="K36" s="142">
        <f t="shared" si="5"/>
        <v>0</v>
      </c>
    </row>
    <row r="37" spans="1:11" x14ac:dyDescent="0.35">
      <c r="A37" s="354"/>
      <c r="B37" s="13" t="s">
        <v>359</v>
      </c>
      <c r="C37" s="2" t="s">
        <v>22</v>
      </c>
      <c r="D37" s="142">
        <f>0.3*D30</f>
        <v>42.9</v>
      </c>
      <c r="E37" s="142"/>
      <c r="F37" s="142">
        <f t="shared" si="6"/>
        <v>0</v>
      </c>
      <c r="G37" s="142"/>
      <c r="H37" s="142"/>
      <c r="I37" s="142"/>
      <c r="J37" s="142"/>
      <c r="K37" s="142">
        <f t="shared" si="5"/>
        <v>0</v>
      </c>
    </row>
    <row r="38" spans="1:11" x14ac:dyDescent="0.35">
      <c r="A38" s="355"/>
      <c r="B38" s="13" t="s">
        <v>38</v>
      </c>
      <c r="C38" s="2" t="s">
        <v>1</v>
      </c>
      <c r="D38" s="142">
        <f>D30*0.02</f>
        <v>2.86</v>
      </c>
      <c r="E38" s="142"/>
      <c r="F38" s="142">
        <f t="shared" si="6"/>
        <v>0</v>
      </c>
      <c r="G38" s="142"/>
      <c r="H38" s="142"/>
      <c r="I38" s="142"/>
      <c r="J38" s="142"/>
      <c r="K38" s="142">
        <f t="shared" si="5"/>
        <v>0</v>
      </c>
    </row>
    <row r="39" spans="1:11" ht="27" x14ac:dyDescent="0.35">
      <c r="A39" s="353" t="s">
        <v>35</v>
      </c>
      <c r="B39" s="17" t="s">
        <v>473</v>
      </c>
      <c r="C39" s="18" t="s">
        <v>13</v>
      </c>
      <c r="D39" s="230">
        <f>D25</f>
        <v>101.36</v>
      </c>
      <c r="E39" s="142"/>
      <c r="F39" s="142"/>
      <c r="G39" s="142"/>
      <c r="H39" s="142">
        <f>G39*D39</f>
        <v>0</v>
      </c>
      <c r="I39" s="142"/>
      <c r="J39" s="142">
        <f>I39*D39</f>
        <v>0</v>
      </c>
      <c r="K39" s="142">
        <f t="shared" si="5"/>
        <v>0</v>
      </c>
    </row>
    <row r="40" spans="1:11" x14ac:dyDescent="0.35">
      <c r="A40" s="354"/>
      <c r="B40" s="13" t="s">
        <v>360</v>
      </c>
      <c r="C40" s="2" t="s">
        <v>40</v>
      </c>
      <c r="D40" s="142">
        <v>46.55</v>
      </c>
      <c r="E40" s="142"/>
      <c r="F40" s="142">
        <f t="shared" ref="F40:F46" si="7">E40*D40</f>
        <v>0</v>
      </c>
      <c r="G40" s="142"/>
      <c r="H40" s="142"/>
      <c r="I40" s="142"/>
      <c r="J40" s="142"/>
      <c r="K40" s="142">
        <f t="shared" si="5"/>
        <v>0</v>
      </c>
    </row>
    <row r="41" spans="1:11" x14ac:dyDescent="0.35">
      <c r="A41" s="354"/>
      <c r="B41" s="13" t="s">
        <v>361</v>
      </c>
      <c r="C41" s="2" t="s">
        <v>40</v>
      </c>
      <c r="D41" s="142">
        <v>51.87</v>
      </c>
      <c r="E41" s="142"/>
      <c r="F41" s="142">
        <f t="shared" si="7"/>
        <v>0</v>
      </c>
      <c r="G41" s="142"/>
      <c r="H41" s="142"/>
      <c r="I41" s="142"/>
      <c r="J41" s="142"/>
      <c r="K41" s="142">
        <f t="shared" si="5"/>
        <v>0</v>
      </c>
    </row>
    <row r="42" spans="1:11" x14ac:dyDescent="0.35">
      <c r="A42" s="354"/>
      <c r="B42" s="13" t="s">
        <v>362</v>
      </c>
      <c r="C42" s="2" t="s">
        <v>40</v>
      </c>
      <c r="D42" s="142">
        <f>0.15*D39</f>
        <v>15.203999999999999</v>
      </c>
      <c r="E42" s="142"/>
      <c r="F42" s="142">
        <f t="shared" si="7"/>
        <v>0</v>
      </c>
      <c r="G42" s="142"/>
      <c r="H42" s="142"/>
      <c r="I42" s="142"/>
      <c r="J42" s="142"/>
      <c r="K42" s="142">
        <f t="shared" si="5"/>
        <v>0</v>
      </c>
    </row>
    <row r="43" spans="1:11" x14ac:dyDescent="0.35">
      <c r="A43" s="354"/>
      <c r="B43" s="13" t="s">
        <v>363</v>
      </c>
      <c r="C43" s="2" t="s">
        <v>40</v>
      </c>
      <c r="D43" s="142">
        <f>0.08*D39</f>
        <v>8.1088000000000005</v>
      </c>
      <c r="E43" s="142"/>
      <c r="F43" s="142">
        <f t="shared" si="7"/>
        <v>0</v>
      </c>
      <c r="G43" s="142"/>
      <c r="H43" s="142"/>
      <c r="I43" s="142"/>
      <c r="J43" s="142"/>
      <c r="K43" s="142">
        <f t="shared" si="5"/>
        <v>0</v>
      </c>
    </row>
    <row r="44" spans="1:11" x14ac:dyDescent="0.35">
      <c r="A44" s="354"/>
      <c r="B44" s="13" t="s">
        <v>364</v>
      </c>
      <c r="C44" s="2" t="s">
        <v>13</v>
      </c>
      <c r="D44" s="142">
        <v>1.2</v>
      </c>
      <c r="E44" s="142"/>
      <c r="F44" s="142">
        <f t="shared" si="7"/>
        <v>0</v>
      </c>
      <c r="G44" s="142"/>
      <c r="H44" s="142"/>
      <c r="I44" s="142"/>
      <c r="J44" s="142"/>
      <c r="K44" s="142">
        <f t="shared" si="5"/>
        <v>0</v>
      </c>
    </row>
    <row r="45" spans="1:11" x14ac:dyDescent="0.35">
      <c r="A45" s="354"/>
      <c r="B45" s="13" t="s">
        <v>188</v>
      </c>
      <c r="C45" s="2" t="s">
        <v>22</v>
      </c>
      <c r="D45" s="142">
        <v>55</v>
      </c>
      <c r="E45" s="142"/>
      <c r="F45" s="142">
        <f t="shared" si="7"/>
        <v>0</v>
      </c>
      <c r="G45" s="142"/>
      <c r="H45" s="142"/>
      <c r="I45" s="142"/>
      <c r="J45" s="142"/>
      <c r="K45" s="142">
        <f t="shared" si="5"/>
        <v>0</v>
      </c>
    </row>
    <row r="46" spans="1:11" x14ac:dyDescent="0.35">
      <c r="A46" s="355"/>
      <c r="B46" s="13" t="s">
        <v>38</v>
      </c>
      <c r="C46" s="2" t="s">
        <v>1</v>
      </c>
      <c r="D46" s="142">
        <f>D39*0.02</f>
        <v>2.0272000000000001</v>
      </c>
      <c r="E46" s="142"/>
      <c r="F46" s="142">
        <f t="shared" si="7"/>
        <v>0</v>
      </c>
      <c r="G46" s="142"/>
      <c r="H46" s="142"/>
      <c r="I46" s="142"/>
      <c r="J46" s="142"/>
      <c r="K46" s="142">
        <f t="shared" si="5"/>
        <v>0</v>
      </c>
    </row>
    <row r="47" spans="1:11" x14ac:dyDescent="0.35">
      <c r="A47" s="276" t="s">
        <v>186</v>
      </c>
      <c r="B47" s="277" t="s">
        <v>189</v>
      </c>
      <c r="C47" s="278"/>
      <c r="D47" s="279"/>
      <c r="E47" s="279"/>
      <c r="F47" s="279"/>
      <c r="G47" s="279"/>
      <c r="H47" s="279"/>
      <c r="I47" s="279"/>
      <c r="J47" s="279"/>
      <c r="K47" s="279"/>
    </row>
    <row r="48" spans="1:11" ht="40.5" x14ac:dyDescent="0.35">
      <c r="A48" s="144">
        <v>14</v>
      </c>
      <c r="B48" s="27" t="s">
        <v>79</v>
      </c>
      <c r="C48" s="28" t="s">
        <v>16</v>
      </c>
      <c r="D48" s="232">
        <v>12</v>
      </c>
      <c r="E48" s="139"/>
      <c r="F48" s="139">
        <f>E48*D48</f>
        <v>0</v>
      </c>
      <c r="G48" s="139"/>
      <c r="H48" s="142">
        <f>G48*D48</f>
        <v>0</v>
      </c>
      <c r="I48" s="139"/>
      <c r="J48" s="10">
        <f>I48*D48</f>
        <v>0</v>
      </c>
      <c r="K48" s="142">
        <f>J48+H48+F48</f>
        <v>0</v>
      </c>
    </row>
    <row r="49" spans="1:11" x14ac:dyDescent="0.35">
      <c r="A49" s="70"/>
      <c r="B49" s="244" t="s">
        <v>198</v>
      </c>
      <c r="C49" s="2"/>
      <c r="D49" s="142"/>
      <c r="E49" s="142"/>
      <c r="F49" s="142"/>
      <c r="G49" s="142"/>
      <c r="H49" s="142"/>
      <c r="I49" s="142"/>
      <c r="J49" s="142"/>
      <c r="K49" s="142"/>
    </row>
    <row r="50" spans="1:11" x14ac:dyDescent="0.35">
      <c r="A50" s="245"/>
      <c r="B50" s="246" t="s">
        <v>378</v>
      </c>
      <c r="C50" s="2"/>
      <c r="D50" s="142"/>
      <c r="E50" s="142"/>
      <c r="F50" s="59"/>
      <c r="G50" s="142"/>
      <c r="H50" s="59"/>
      <c r="I50" s="142"/>
      <c r="J50" s="59"/>
      <c r="K50" s="59"/>
    </row>
    <row r="51" spans="1:11" x14ac:dyDescent="0.35">
      <c r="A51" s="2">
        <v>23</v>
      </c>
      <c r="B51" s="24" t="s">
        <v>215</v>
      </c>
      <c r="C51" s="2" t="s">
        <v>85</v>
      </c>
      <c r="D51" s="142">
        <f>D9</f>
        <v>30</v>
      </c>
      <c r="E51" s="187"/>
      <c r="F51" s="59">
        <f t="shared" ref="F51:F55" si="8">E51*D51</f>
        <v>0</v>
      </c>
      <c r="G51" s="142"/>
      <c r="H51" s="59">
        <f t="shared" ref="H51:H55" si="9">G51*D51</f>
        <v>0</v>
      </c>
      <c r="I51" s="142"/>
      <c r="J51" s="59">
        <f>I51*D51</f>
        <v>0</v>
      </c>
      <c r="K51" s="59">
        <f t="shared" ref="K51:K55" si="10">J51+H51+F51</f>
        <v>0</v>
      </c>
    </row>
    <row r="52" spans="1:11" x14ac:dyDescent="0.35">
      <c r="A52" s="2">
        <v>24</v>
      </c>
      <c r="B52" s="25" t="s">
        <v>216</v>
      </c>
      <c r="C52" s="2" t="s">
        <v>85</v>
      </c>
      <c r="D52" s="142">
        <f>D10</f>
        <v>7</v>
      </c>
      <c r="E52" s="142"/>
      <c r="F52" s="59">
        <f t="shared" si="8"/>
        <v>0</v>
      </c>
      <c r="G52" s="142"/>
      <c r="H52" s="59">
        <f t="shared" si="9"/>
        <v>0</v>
      </c>
      <c r="I52" s="142"/>
      <c r="J52" s="59">
        <f>I52*D52</f>
        <v>0</v>
      </c>
      <c r="K52" s="59">
        <f t="shared" si="10"/>
        <v>0</v>
      </c>
    </row>
    <row r="53" spans="1:11" x14ac:dyDescent="0.35">
      <c r="A53" s="2">
        <v>25</v>
      </c>
      <c r="B53" s="25" t="s">
        <v>84</v>
      </c>
      <c r="C53" s="2" t="s">
        <v>85</v>
      </c>
      <c r="D53" s="142">
        <f>D13</f>
        <v>10</v>
      </c>
      <c r="E53" s="142"/>
      <c r="F53" s="59">
        <f t="shared" si="8"/>
        <v>0</v>
      </c>
      <c r="G53" s="142"/>
      <c r="H53" s="59">
        <f t="shared" si="9"/>
        <v>0</v>
      </c>
      <c r="I53" s="142"/>
      <c r="J53" s="59"/>
      <c r="K53" s="59">
        <f t="shared" si="10"/>
        <v>0</v>
      </c>
    </row>
    <row r="54" spans="1:11" x14ac:dyDescent="0.35">
      <c r="A54" s="2">
        <v>26</v>
      </c>
      <c r="B54" s="25" t="s">
        <v>86</v>
      </c>
      <c r="C54" s="2" t="s">
        <v>85</v>
      </c>
      <c r="D54" s="142">
        <f>D14</f>
        <v>10</v>
      </c>
      <c r="E54" s="142"/>
      <c r="F54" s="59">
        <f t="shared" si="8"/>
        <v>0</v>
      </c>
      <c r="G54" s="142"/>
      <c r="H54" s="59">
        <f t="shared" si="9"/>
        <v>0</v>
      </c>
      <c r="I54" s="142"/>
      <c r="J54" s="59">
        <f>I54*D54</f>
        <v>0</v>
      </c>
      <c r="K54" s="59">
        <f t="shared" si="10"/>
        <v>0</v>
      </c>
    </row>
    <row r="55" spans="1:11" x14ac:dyDescent="0.35">
      <c r="A55" s="2">
        <v>27</v>
      </c>
      <c r="B55" s="25" t="s">
        <v>219</v>
      </c>
      <c r="C55" s="2" t="s">
        <v>20</v>
      </c>
      <c r="D55" s="142">
        <v>1</v>
      </c>
      <c r="E55" s="142"/>
      <c r="F55" s="59">
        <f t="shared" si="8"/>
        <v>0</v>
      </c>
      <c r="G55" s="142"/>
      <c r="H55" s="59">
        <f t="shared" si="9"/>
        <v>0</v>
      </c>
      <c r="I55" s="142"/>
      <c r="J55" s="59"/>
      <c r="K55" s="59">
        <f t="shared" si="10"/>
        <v>0</v>
      </c>
    </row>
    <row r="56" spans="1:11" ht="40.5" x14ac:dyDescent="0.35">
      <c r="A56" s="11"/>
      <c r="B56" s="18" t="s">
        <v>379</v>
      </c>
      <c r="C56" s="2"/>
      <c r="D56" s="142"/>
      <c r="E56" s="142"/>
      <c r="F56" s="59"/>
      <c r="G56" s="142"/>
      <c r="H56" s="59"/>
      <c r="I56" s="142"/>
      <c r="J56" s="59"/>
      <c r="K56" s="59"/>
    </row>
    <row r="57" spans="1:11" ht="40.5" x14ac:dyDescent="0.35">
      <c r="A57" s="2">
        <v>28</v>
      </c>
      <c r="B57" s="24" t="s">
        <v>223</v>
      </c>
      <c r="C57" s="2" t="s">
        <v>20</v>
      </c>
      <c r="D57" s="142">
        <v>1</v>
      </c>
      <c r="E57" s="142"/>
      <c r="F57" s="59">
        <f t="shared" ref="F57:F62" si="11">E57*D57</f>
        <v>0</v>
      </c>
      <c r="G57" s="142"/>
      <c r="H57" s="59">
        <f t="shared" ref="H57:H61" si="12">G57*D57</f>
        <v>0</v>
      </c>
      <c r="I57" s="142"/>
      <c r="J57" s="59">
        <f t="shared" ref="J57:J61" si="13">I57*D57</f>
        <v>0</v>
      </c>
      <c r="K57" s="59">
        <f t="shared" ref="K57:K62" si="14">J57+H57+F57</f>
        <v>0</v>
      </c>
    </row>
    <row r="58" spans="1:11" x14ac:dyDescent="0.35">
      <c r="A58" s="2">
        <v>29</v>
      </c>
      <c r="B58" s="25" t="s">
        <v>224</v>
      </c>
      <c r="C58" s="2" t="s">
        <v>20</v>
      </c>
      <c r="D58" s="142">
        <v>12</v>
      </c>
      <c r="E58" s="142"/>
      <c r="F58" s="59">
        <f t="shared" si="11"/>
        <v>0</v>
      </c>
      <c r="G58" s="142"/>
      <c r="H58" s="59">
        <f t="shared" si="12"/>
        <v>0</v>
      </c>
      <c r="I58" s="142"/>
      <c r="J58" s="59">
        <f t="shared" si="13"/>
        <v>0</v>
      </c>
      <c r="K58" s="59">
        <f t="shared" si="14"/>
        <v>0</v>
      </c>
    </row>
    <row r="59" spans="1:11" x14ac:dyDescent="0.35">
      <c r="A59" s="2">
        <v>30</v>
      </c>
      <c r="B59" s="25" t="s">
        <v>225</v>
      </c>
      <c r="C59" s="2" t="s">
        <v>20</v>
      </c>
      <c r="D59" s="142">
        <v>3</v>
      </c>
      <c r="E59" s="142"/>
      <c r="F59" s="59">
        <f t="shared" si="11"/>
        <v>0</v>
      </c>
      <c r="G59" s="142"/>
      <c r="H59" s="59">
        <f t="shared" si="12"/>
        <v>0</v>
      </c>
      <c r="I59" s="142"/>
      <c r="J59" s="59">
        <f t="shared" si="13"/>
        <v>0</v>
      </c>
      <c r="K59" s="59">
        <f t="shared" si="14"/>
        <v>0</v>
      </c>
    </row>
    <row r="60" spans="1:11" x14ac:dyDescent="0.35">
      <c r="A60" s="2">
        <v>31</v>
      </c>
      <c r="B60" s="25" t="s">
        <v>226</v>
      </c>
      <c r="C60" s="2" t="s">
        <v>20</v>
      </c>
      <c r="D60" s="142">
        <v>4</v>
      </c>
      <c r="E60" s="142"/>
      <c r="F60" s="59">
        <f t="shared" si="11"/>
        <v>0</v>
      </c>
      <c r="G60" s="142"/>
      <c r="H60" s="59">
        <f t="shared" si="12"/>
        <v>0</v>
      </c>
      <c r="I60" s="142"/>
      <c r="J60" s="59">
        <f t="shared" si="13"/>
        <v>0</v>
      </c>
      <c r="K60" s="59">
        <f t="shared" si="14"/>
        <v>0</v>
      </c>
    </row>
    <row r="61" spans="1:11" x14ac:dyDescent="0.35">
      <c r="A61" s="2">
        <v>32</v>
      </c>
      <c r="B61" s="25" t="s">
        <v>227</v>
      </c>
      <c r="C61" s="2" t="s">
        <v>207</v>
      </c>
      <c r="D61" s="142">
        <v>200</v>
      </c>
      <c r="E61" s="142"/>
      <c r="F61" s="59">
        <f t="shared" si="11"/>
        <v>0</v>
      </c>
      <c r="G61" s="142"/>
      <c r="H61" s="59">
        <f t="shared" si="12"/>
        <v>0</v>
      </c>
      <c r="I61" s="142"/>
      <c r="J61" s="59">
        <f t="shared" si="13"/>
        <v>0</v>
      </c>
      <c r="K61" s="59">
        <f t="shared" si="14"/>
        <v>0</v>
      </c>
    </row>
    <row r="62" spans="1:11" x14ac:dyDescent="0.35">
      <c r="A62" s="2"/>
      <c r="B62" s="25" t="s">
        <v>38</v>
      </c>
      <c r="C62" s="2" t="s">
        <v>1</v>
      </c>
      <c r="D62" s="142">
        <f>(D57+D58+D59+D60+D61)*0.05</f>
        <v>11</v>
      </c>
      <c r="E62" s="142"/>
      <c r="F62" s="59">
        <f t="shared" si="11"/>
        <v>0</v>
      </c>
      <c r="G62" s="142"/>
      <c r="H62" s="59"/>
      <c r="I62" s="142"/>
      <c r="J62" s="59"/>
      <c r="K62" s="59">
        <f t="shared" si="14"/>
        <v>0</v>
      </c>
    </row>
    <row r="63" spans="1:11" x14ac:dyDescent="0.35">
      <c r="A63" s="233"/>
      <c r="B63" s="234" t="s">
        <v>9</v>
      </c>
      <c r="C63" s="28"/>
      <c r="D63" s="139"/>
      <c r="E63" s="139"/>
      <c r="F63" s="247">
        <f>SUM(F9:F62)</f>
        <v>0</v>
      </c>
      <c r="G63" s="247"/>
      <c r="H63" s="247">
        <f>SUM(H9:H62)</f>
        <v>0</v>
      </c>
      <c r="I63" s="247"/>
      <c r="J63" s="247">
        <f>SUM(J9:J62)</f>
        <v>0</v>
      </c>
      <c r="K63" s="247">
        <f>SUM(K9:K62)</f>
        <v>0</v>
      </c>
    </row>
    <row r="64" spans="1:11" x14ac:dyDescent="0.35">
      <c r="A64" s="30"/>
      <c r="B64" s="31" t="s">
        <v>67</v>
      </c>
      <c r="C64" s="32" t="s">
        <v>484</v>
      </c>
      <c r="D64" s="33"/>
      <c r="E64" s="33"/>
      <c r="F64" s="33"/>
      <c r="G64" s="33"/>
      <c r="H64" s="33"/>
      <c r="I64" s="33"/>
      <c r="J64" s="33"/>
      <c r="K64" s="34" t="e">
        <f>F63*C64</f>
        <v>#VALUE!</v>
      </c>
    </row>
    <row r="65" spans="1:11" x14ac:dyDescent="0.35">
      <c r="A65" s="30"/>
      <c r="B65" s="35" t="s">
        <v>9</v>
      </c>
      <c r="C65" s="143"/>
      <c r="D65" s="33"/>
      <c r="E65" s="33"/>
      <c r="F65" s="33"/>
      <c r="G65" s="33"/>
      <c r="H65" s="33"/>
      <c r="I65" s="33"/>
      <c r="J65" s="33"/>
      <c r="K65" s="34" t="e">
        <f>SUM(K63:K64)</f>
        <v>#VALUE!</v>
      </c>
    </row>
    <row r="66" spans="1:11" x14ac:dyDescent="0.35">
      <c r="A66" s="30"/>
      <c r="B66" s="31" t="s">
        <v>68</v>
      </c>
      <c r="C66" s="32" t="s">
        <v>484</v>
      </c>
      <c r="D66" s="33"/>
      <c r="E66" s="33"/>
      <c r="F66" s="33"/>
      <c r="G66" s="33"/>
      <c r="H66" s="33"/>
      <c r="I66" s="33"/>
      <c r="J66" s="33"/>
      <c r="K66" s="34" t="e">
        <f>K65*C66</f>
        <v>#VALUE!</v>
      </c>
    </row>
    <row r="67" spans="1:11" x14ac:dyDescent="0.35">
      <c r="A67" s="30"/>
      <c r="B67" s="35" t="s">
        <v>9</v>
      </c>
      <c r="C67" s="143"/>
      <c r="D67" s="33"/>
      <c r="E67" s="33"/>
      <c r="F67" s="33"/>
      <c r="G67" s="33"/>
      <c r="H67" s="33"/>
      <c r="I67" s="33"/>
      <c r="J67" s="33"/>
      <c r="K67" s="34" t="e">
        <f>SUM(K65:K66)</f>
        <v>#VALUE!</v>
      </c>
    </row>
    <row r="68" spans="1:11" x14ac:dyDescent="0.35">
      <c r="A68" s="30"/>
      <c r="B68" s="31" t="s">
        <v>69</v>
      </c>
      <c r="C68" s="32" t="s">
        <v>484</v>
      </c>
      <c r="D68" s="33"/>
      <c r="E68" s="33"/>
      <c r="F68" s="33"/>
      <c r="G68" s="33"/>
      <c r="H68" s="33"/>
      <c r="I68" s="33"/>
      <c r="J68" s="33"/>
      <c r="K68" s="34" t="e">
        <f>K67*C68</f>
        <v>#VALUE!</v>
      </c>
    </row>
    <row r="69" spans="1:11" x14ac:dyDescent="0.35">
      <c r="A69" s="36"/>
      <c r="B69" s="35" t="s">
        <v>9</v>
      </c>
      <c r="C69" s="143"/>
      <c r="D69" s="33"/>
      <c r="E69" s="33"/>
      <c r="F69" s="33"/>
      <c r="G69" s="33"/>
      <c r="H69" s="33"/>
      <c r="I69" s="33"/>
      <c r="J69" s="33"/>
      <c r="K69" s="34" t="e">
        <f>SUM(K67:K68)</f>
        <v>#VALUE!</v>
      </c>
    </row>
    <row r="70" spans="1:11" x14ac:dyDescent="0.35">
      <c r="A70" s="36"/>
      <c r="B70" s="31" t="s">
        <v>70</v>
      </c>
      <c r="C70" s="32" t="s">
        <v>484</v>
      </c>
      <c r="D70" s="33"/>
      <c r="E70" s="33"/>
      <c r="F70" s="33"/>
      <c r="G70" s="33"/>
      <c r="H70" s="33"/>
      <c r="I70" s="33"/>
      <c r="J70" s="33"/>
      <c r="K70" s="34" t="e">
        <f>K69*C70</f>
        <v>#VALUE!</v>
      </c>
    </row>
    <row r="71" spans="1:11" x14ac:dyDescent="0.35">
      <c r="A71" s="36"/>
      <c r="B71" s="31" t="s">
        <v>71</v>
      </c>
      <c r="C71" s="32">
        <v>0.02</v>
      </c>
      <c r="D71" s="33"/>
      <c r="E71" s="33"/>
      <c r="F71" s="33"/>
      <c r="G71" s="33"/>
      <c r="H71" s="33"/>
      <c r="I71" s="33"/>
      <c r="J71" s="33"/>
      <c r="K71" s="34">
        <f>H63*C71</f>
        <v>0</v>
      </c>
    </row>
    <row r="72" spans="1:11" x14ac:dyDescent="0.35">
      <c r="A72" s="30"/>
      <c r="B72" s="38" t="s">
        <v>9</v>
      </c>
      <c r="C72" s="143"/>
      <c r="D72" s="33"/>
      <c r="E72" s="33"/>
      <c r="F72" s="33"/>
      <c r="G72" s="33"/>
      <c r="H72" s="33"/>
      <c r="I72" s="33"/>
      <c r="J72" s="33"/>
      <c r="K72" s="34" t="e">
        <f>SUM(K69:K71)</f>
        <v>#VALUE!</v>
      </c>
    </row>
    <row r="73" spans="1:11" x14ac:dyDescent="0.35">
      <c r="A73" s="30"/>
      <c r="B73" s="29" t="s">
        <v>72</v>
      </c>
      <c r="C73" s="32">
        <v>0.18</v>
      </c>
      <c r="D73" s="33"/>
      <c r="E73" s="33"/>
      <c r="F73" s="33"/>
      <c r="G73" s="33"/>
      <c r="H73" s="33"/>
      <c r="I73" s="33"/>
      <c r="J73" s="33"/>
      <c r="K73" s="34" t="e">
        <f>K72*C73</f>
        <v>#VALUE!</v>
      </c>
    </row>
    <row r="74" spans="1:11" ht="20.149999999999999" customHeight="1" x14ac:dyDescent="0.35">
      <c r="A74" s="30"/>
      <c r="B74" s="238" t="s">
        <v>338</v>
      </c>
      <c r="C74" s="109"/>
      <c r="D74" s="239"/>
      <c r="E74" s="239"/>
      <c r="F74" s="239"/>
      <c r="G74" s="239"/>
      <c r="H74" s="239"/>
      <c r="I74" s="239"/>
      <c r="J74" s="239"/>
      <c r="K74" s="240" t="e">
        <f>SUM('IIსართ.  ეს'!K72:K73)</f>
        <v>#VALUE!</v>
      </c>
    </row>
    <row r="75" spans="1:11" ht="20.149999999999999" customHeight="1" x14ac:dyDescent="0.35">
      <c r="A75" s="68"/>
      <c r="B75" s="68"/>
      <c r="C75" s="68"/>
      <c r="D75" s="106"/>
      <c r="E75" s="68"/>
      <c r="F75" s="68"/>
      <c r="G75" s="68"/>
      <c r="H75" s="68"/>
      <c r="I75" s="68"/>
      <c r="J75" s="68"/>
      <c r="K75" s="68"/>
    </row>
    <row r="76" spans="1:11" ht="24.9" customHeight="1" x14ac:dyDescent="0.35">
      <c r="A76" s="113"/>
      <c r="B76" s="75" t="s">
        <v>339</v>
      </c>
      <c r="C76" s="113"/>
      <c r="D76" s="114"/>
      <c r="E76" s="113"/>
      <c r="F76" s="113"/>
      <c r="G76" s="113"/>
      <c r="H76" s="113"/>
      <c r="I76" s="113"/>
      <c r="J76" s="113"/>
      <c r="K76" s="115" t="e">
        <f>K74</f>
        <v>#VALUE!</v>
      </c>
    </row>
  </sheetData>
  <mergeCells count="17">
    <mergeCell ref="A25:A27"/>
    <mergeCell ref="A30:A38"/>
    <mergeCell ref="A39:A46"/>
    <mergeCell ref="B4:K4"/>
    <mergeCell ref="A5:A6"/>
    <mergeCell ref="B5:B6"/>
    <mergeCell ref="C5:C6"/>
    <mergeCell ref="D5:D6"/>
    <mergeCell ref="E5:F5"/>
    <mergeCell ref="G5:H5"/>
    <mergeCell ref="I5:J5"/>
    <mergeCell ref="K5:K6"/>
    <mergeCell ref="B1:J1"/>
    <mergeCell ref="B2:J2"/>
    <mergeCell ref="A3:C3"/>
    <mergeCell ref="D3:H3"/>
    <mergeCell ref="I3:J3"/>
  </mergeCells>
  <pageMargins left="0.45" right="0.45" top="0.5" bottom="0.5" header="0.3" footer="0.3"/>
  <pageSetup scale="84" orientation="landscape" horizontalDpi="0" verticalDpi="0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M82"/>
  <sheetViews>
    <sheetView topLeftCell="A66" zoomScaleNormal="100" workbookViewId="0">
      <selection activeCell="C75" sqref="C75"/>
    </sheetView>
  </sheetViews>
  <sheetFormatPr defaultColWidth="9.08984375" defaultRowHeight="14.5" x14ac:dyDescent="0.35"/>
  <cols>
    <col min="1" max="1" width="4.54296875" style="1" customWidth="1"/>
    <col min="2" max="2" width="53.08984375" style="1" customWidth="1"/>
    <col min="3" max="3" width="7.54296875" style="1" customWidth="1"/>
    <col min="4" max="4" width="11.08984375" style="76" customWidth="1"/>
    <col min="5" max="5" width="8.90625" style="1" customWidth="1"/>
    <col min="6" max="6" width="12.90625" style="1" customWidth="1"/>
    <col min="7" max="7" width="8.453125" style="1" customWidth="1"/>
    <col min="8" max="8" width="12.6328125" style="1" customWidth="1"/>
    <col min="9" max="9" width="8" style="1" customWidth="1"/>
    <col min="10" max="10" width="11.36328125" style="1" customWidth="1"/>
    <col min="11" max="11" width="15.36328125" style="1" customWidth="1"/>
    <col min="12" max="16384" width="9.08984375" style="1"/>
  </cols>
  <sheetData>
    <row r="1" spans="1:13" s="77" customFormat="1" ht="20.149999999999999" customHeight="1" x14ac:dyDescent="0.35">
      <c r="B1" s="368" t="s">
        <v>346</v>
      </c>
      <c r="C1" s="369"/>
      <c r="D1" s="369"/>
      <c r="E1" s="369"/>
      <c r="F1" s="369"/>
      <c r="G1" s="369"/>
      <c r="H1" s="369"/>
      <c r="I1" s="369"/>
      <c r="J1" s="369"/>
    </row>
    <row r="2" spans="1:13" s="77" customFormat="1" ht="20.149999999999999" customHeight="1" x14ac:dyDescent="0.35">
      <c r="B2" s="336" t="s">
        <v>368</v>
      </c>
      <c r="C2" s="336"/>
      <c r="D2" s="336"/>
      <c r="E2" s="336"/>
      <c r="F2" s="336"/>
      <c r="G2" s="336"/>
      <c r="H2" s="336"/>
      <c r="I2" s="336"/>
      <c r="J2" s="336"/>
    </row>
    <row r="3" spans="1:13" s="77" customFormat="1" ht="20.149999999999999" customHeight="1" x14ac:dyDescent="0.35">
      <c r="A3" s="370"/>
      <c r="B3" s="371"/>
      <c r="C3" s="372"/>
      <c r="D3" s="380" t="s">
        <v>344</v>
      </c>
      <c r="E3" s="380"/>
      <c r="F3" s="380"/>
      <c r="G3" s="380"/>
      <c r="H3" s="380"/>
      <c r="I3" s="374" t="e">
        <f>K82</f>
        <v>#VALUE!</v>
      </c>
      <c r="J3" s="375"/>
      <c r="K3" s="109" t="s">
        <v>1</v>
      </c>
    </row>
    <row r="4" spans="1:13" s="77" customFormat="1" ht="24.9" customHeight="1" x14ac:dyDescent="0.35">
      <c r="A4" s="377" t="s">
        <v>247</v>
      </c>
      <c r="B4" s="378"/>
      <c r="C4" s="378"/>
      <c r="D4" s="378"/>
      <c r="E4" s="378"/>
      <c r="F4" s="378"/>
      <c r="G4" s="378"/>
      <c r="H4" s="378"/>
      <c r="I4" s="378"/>
      <c r="J4" s="378"/>
      <c r="K4" s="379"/>
    </row>
    <row r="5" spans="1:13" ht="28.5" customHeight="1" x14ac:dyDescent="0.35">
      <c r="A5" s="343" t="s">
        <v>2</v>
      </c>
      <c r="B5" s="343" t="s">
        <v>3</v>
      </c>
      <c r="C5" s="343" t="s">
        <v>4</v>
      </c>
      <c r="D5" s="345" t="s">
        <v>5</v>
      </c>
      <c r="E5" s="347" t="s">
        <v>6</v>
      </c>
      <c r="F5" s="348"/>
      <c r="G5" s="349" t="s">
        <v>7</v>
      </c>
      <c r="H5" s="350"/>
      <c r="I5" s="351" t="s">
        <v>8</v>
      </c>
      <c r="J5" s="352"/>
      <c r="K5" s="345" t="s">
        <v>9</v>
      </c>
    </row>
    <row r="6" spans="1:13" ht="35.25" customHeight="1" x14ac:dyDescent="0.35">
      <c r="A6" s="344"/>
      <c r="B6" s="344"/>
      <c r="C6" s="344"/>
      <c r="D6" s="346"/>
      <c r="E6" s="116" t="s">
        <v>10</v>
      </c>
      <c r="F6" s="140" t="s">
        <v>9</v>
      </c>
      <c r="G6" s="141" t="s">
        <v>10</v>
      </c>
      <c r="H6" s="140" t="s">
        <v>9</v>
      </c>
      <c r="I6" s="141" t="s">
        <v>10</v>
      </c>
      <c r="J6" s="140" t="s">
        <v>11</v>
      </c>
      <c r="K6" s="376"/>
    </row>
    <row r="7" spans="1:13" ht="16.5" customHeight="1" x14ac:dyDescent="0.35">
      <c r="A7" s="2">
        <v>1</v>
      </c>
      <c r="B7" s="2">
        <v>2</v>
      </c>
      <c r="C7" s="2">
        <v>3</v>
      </c>
      <c r="D7" s="3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4">
        <v>10</v>
      </c>
      <c r="K7" s="2">
        <v>11</v>
      </c>
    </row>
    <row r="8" spans="1:13" ht="20.149999999999999" customHeight="1" x14ac:dyDescent="0.35">
      <c r="A8" s="43"/>
      <c r="B8" s="44" t="s">
        <v>12</v>
      </c>
      <c r="C8" s="45"/>
      <c r="D8" s="46"/>
      <c r="E8" s="46"/>
      <c r="F8" s="46"/>
      <c r="G8" s="46"/>
      <c r="H8" s="46"/>
      <c r="I8" s="46"/>
      <c r="J8" s="261"/>
      <c r="K8" s="46"/>
    </row>
    <row r="9" spans="1:13" ht="27" x14ac:dyDescent="0.35">
      <c r="A9" s="184">
        <v>1</v>
      </c>
      <c r="B9" s="185" t="s">
        <v>88</v>
      </c>
      <c r="C9" s="186" t="s">
        <v>13</v>
      </c>
      <c r="D9" s="187">
        <v>150</v>
      </c>
      <c r="E9" s="187"/>
      <c r="F9" s="187"/>
      <c r="G9" s="187"/>
      <c r="H9" s="187">
        <f t="shared" ref="H9:H20" si="0">G9*D9</f>
        <v>0</v>
      </c>
      <c r="I9" s="187"/>
      <c r="J9" s="188"/>
      <c r="K9" s="187">
        <f t="shared" ref="K9:K21" si="1">J9+H9+F9</f>
        <v>0</v>
      </c>
      <c r="M9" s="202"/>
    </row>
    <row r="10" spans="1:13" ht="27" x14ac:dyDescent="0.35">
      <c r="A10" s="47">
        <v>2</v>
      </c>
      <c r="B10" s="9" t="s">
        <v>15</v>
      </c>
      <c r="C10" s="2" t="s">
        <v>16</v>
      </c>
      <c r="D10" s="5">
        <v>118</v>
      </c>
      <c r="E10" s="142"/>
      <c r="F10" s="142"/>
      <c r="G10" s="142"/>
      <c r="H10" s="142">
        <f t="shared" si="0"/>
        <v>0</v>
      </c>
      <c r="I10" s="142"/>
      <c r="J10" s="10">
        <f t="shared" ref="J10:J21" si="2">I10*D10</f>
        <v>0</v>
      </c>
      <c r="K10" s="142">
        <f t="shared" si="1"/>
        <v>0</v>
      </c>
    </row>
    <row r="11" spans="1:13" ht="27" x14ac:dyDescent="0.35">
      <c r="A11" s="47">
        <v>3</v>
      </c>
      <c r="B11" s="9" t="s">
        <v>18</v>
      </c>
      <c r="C11" s="2" t="s">
        <v>16</v>
      </c>
      <c r="D11" s="5">
        <v>56</v>
      </c>
      <c r="E11" s="142"/>
      <c r="F11" s="142"/>
      <c r="G11" s="142"/>
      <c r="H11" s="142">
        <f t="shared" si="0"/>
        <v>0</v>
      </c>
      <c r="I11" s="142"/>
      <c r="J11" s="10">
        <f t="shared" si="2"/>
        <v>0</v>
      </c>
      <c r="K11" s="142">
        <f t="shared" si="1"/>
        <v>0</v>
      </c>
    </row>
    <row r="12" spans="1:13" x14ac:dyDescent="0.35">
      <c r="A12" s="184">
        <v>4</v>
      </c>
      <c r="B12" s="185" t="s">
        <v>232</v>
      </c>
      <c r="C12" s="186" t="s">
        <v>13</v>
      </c>
      <c r="D12" s="187">
        <v>75</v>
      </c>
      <c r="E12" s="187"/>
      <c r="F12" s="187"/>
      <c r="G12" s="187"/>
      <c r="H12" s="187">
        <f t="shared" si="0"/>
        <v>0</v>
      </c>
      <c r="I12" s="187"/>
      <c r="J12" s="188">
        <f t="shared" si="2"/>
        <v>0</v>
      </c>
      <c r="K12" s="187">
        <f t="shared" si="1"/>
        <v>0</v>
      </c>
      <c r="M12" s="202"/>
    </row>
    <row r="13" spans="1:13" ht="27" x14ac:dyDescent="0.35">
      <c r="A13" s="47">
        <v>5</v>
      </c>
      <c r="B13" s="13" t="s">
        <v>233</v>
      </c>
      <c r="C13" s="2" t="s">
        <v>20</v>
      </c>
      <c r="D13" s="5">
        <v>49</v>
      </c>
      <c r="E13" s="7"/>
      <c r="F13" s="7"/>
      <c r="G13" s="7"/>
      <c r="H13" s="142">
        <f t="shared" si="0"/>
        <v>0</v>
      </c>
      <c r="I13" s="7"/>
      <c r="J13" s="10">
        <f t="shared" si="2"/>
        <v>0</v>
      </c>
      <c r="K13" s="142">
        <f t="shared" si="1"/>
        <v>0</v>
      </c>
    </row>
    <row r="14" spans="1:13" ht="27" x14ac:dyDescent="0.35">
      <c r="A14" s="47">
        <v>6</v>
      </c>
      <c r="B14" s="13" t="s">
        <v>234</v>
      </c>
      <c r="C14" s="2" t="s">
        <v>235</v>
      </c>
      <c r="D14" s="5">
        <v>122</v>
      </c>
      <c r="E14" s="7"/>
      <c r="F14" s="7"/>
      <c r="G14" s="7"/>
      <c r="H14" s="142">
        <f t="shared" si="0"/>
        <v>0</v>
      </c>
      <c r="I14" s="7"/>
      <c r="J14" s="10">
        <f t="shared" si="2"/>
        <v>0</v>
      </c>
      <c r="K14" s="142">
        <f t="shared" si="1"/>
        <v>0</v>
      </c>
    </row>
    <row r="15" spans="1:13" ht="27" x14ac:dyDescent="0.35">
      <c r="A15" s="47">
        <v>7</v>
      </c>
      <c r="B15" s="13" t="s">
        <v>21</v>
      </c>
      <c r="C15" s="6" t="s">
        <v>22</v>
      </c>
      <c r="D15" s="5">
        <v>392</v>
      </c>
      <c r="E15" s="7"/>
      <c r="F15" s="7"/>
      <c r="G15" s="7"/>
      <c r="H15" s="142">
        <f t="shared" si="0"/>
        <v>0</v>
      </c>
      <c r="I15" s="7"/>
      <c r="J15" s="10">
        <f t="shared" si="2"/>
        <v>0</v>
      </c>
      <c r="K15" s="142">
        <f t="shared" si="1"/>
        <v>0</v>
      </c>
    </row>
    <row r="16" spans="1:13" ht="27" x14ac:dyDescent="0.35">
      <c r="A16" s="47">
        <v>8</v>
      </c>
      <c r="B16" s="16" t="s">
        <v>388</v>
      </c>
      <c r="C16" s="26" t="s">
        <v>16</v>
      </c>
      <c r="D16" s="7">
        <v>37</v>
      </c>
      <c r="E16" s="7"/>
      <c r="F16" s="7"/>
      <c r="G16" s="7"/>
      <c r="H16" s="7">
        <f>G16*D16</f>
        <v>0</v>
      </c>
      <c r="I16" s="7"/>
      <c r="J16" s="8">
        <f>I16*D16</f>
        <v>0</v>
      </c>
      <c r="K16" s="7">
        <f>J16+H16+F16</f>
        <v>0</v>
      </c>
    </row>
    <row r="17" spans="1:13" x14ac:dyDescent="0.35">
      <c r="A17" s="47">
        <v>9</v>
      </c>
      <c r="B17" s="9" t="s">
        <v>75</v>
      </c>
      <c r="C17" s="2" t="s">
        <v>174</v>
      </c>
      <c r="D17" s="7">
        <v>95</v>
      </c>
      <c r="E17" s="7"/>
      <c r="F17" s="7"/>
      <c r="G17" s="7"/>
      <c r="H17" s="142">
        <f t="shared" ref="H17:H18" si="3">G17*D17</f>
        <v>0</v>
      </c>
      <c r="I17" s="7"/>
      <c r="J17" s="10">
        <f t="shared" ref="J17:J18" si="4">I17*D17</f>
        <v>0</v>
      </c>
      <c r="K17" s="142">
        <f t="shared" ref="K17:K18" si="5">J17+H17+F17</f>
        <v>0</v>
      </c>
    </row>
    <row r="18" spans="1:13" x14ac:dyDescent="0.35">
      <c r="A18" s="47">
        <v>10</v>
      </c>
      <c r="B18" s="9" t="s">
        <v>76</v>
      </c>
      <c r="C18" s="2" t="s">
        <v>174</v>
      </c>
      <c r="D18" s="7">
        <v>43</v>
      </c>
      <c r="E18" s="7"/>
      <c r="F18" s="7"/>
      <c r="G18" s="7"/>
      <c r="H18" s="142">
        <f t="shared" si="3"/>
        <v>0</v>
      </c>
      <c r="I18" s="7"/>
      <c r="J18" s="10">
        <f t="shared" si="4"/>
        <v>0</v>
      </c>
      <c r="K18" s="142">
        <f t="shared" si="5"/>
        <v>0</v>
      </c>
    </row>
    <row r="19" spans="1:13" ht="27" x14ac:dyDescent="0.35">
      <c r="A19" s="47">
        <v>11</v>
      </c>
      <c r="B19" s="14" t="s">
        <v>26</v>
      </c>
      <c r="C19" s="15" t="s">
        <v>22</v>
      </c>
      <c r="D19" s="7">
        <v>174</v>
      </c>
      <c r="E19" s="7"/>
      <c r="F19" s="7"/>
      <c r="G19" s="7"/>
      <c r="H19" s="7">
        <f t="shared" si="0"/>
        <v>0</v>
      </c>
      <c r="I19" s="7"/>
      <c r="J19" s="10">
        <f t="shared" si="2"/>
        <v>0</v>
      </c>
      <c r="K19" s="7">
        <f t="shared" si="1"/>
        <v>0</v>
      </c>
    </row>
    <row r="20" spans="1:13" ht="27" x14ac:dyDescent="0.35">
      <c r="A20" s="47">
        <v>12</v>
      </c>
      <c r="B20" s="16" t="s">
        <v>236</v>
      </c>
      <c r="C20" s="2" t="s">
        <v>29</v>
      </c>
      <c r="D20" s="7">
        <v>3</v>
      </c>
      <c r="E20" s="7"/>
      <c r="F20" s="7"/>
      <c r="G20" s="7"/>
      <c r="H20" s="7">
        <f t="shared" si="0"/>
        <v>0</v>
      </c>
      <c r="I20" s="7"/>
      <c r="J20" s="10">
        <f t="shared" si="2"/>
        <v>0</v>
      </c>
      <c r="K20" s="7">
        <f t="shared" si="1"/>
        <v>0</v>
      </c>
    </row>
    <row r="21" spans="1:13" x14ac:dyDescent="0.35">
      <c r="A21" s="47">
        <v>13</v>
      </c>
      <c r="B21" s="16" t="s">
        <v>31</v>
      </c>
      <c r="C21" s="2" t="s">
        <v>32</v>
      </c>
      <c r="D21" s="7">
        <f>D20*1.8</f>
        <v>5.4</v>
      </c>
      <c r="E21" s="7"/>
      <c r="F21" s="7"/>
      <c r="G21" s="7"/>
      <c r="H21" s="7"/>
      <c r="I21" s="7"/>
      <c r="J21" s="10">
        <f t="shared" si="2"/>
        <v>0</v>
      </c>
      <c r="K21" s="7">
        <f t="shared" si="1"/>
        <v>0</v>
      </c>
    </row>
    <row r="22" spans="1:13" ht="20.149999999999999" customHeight="1" x14ac:dyDescent="0.35">
      <c r="A22" s="306"/>
      <c r="B22" s="304" t="s">
        <v>33</v>
      </c>
      <c r="C22" s="278"/>
      <c r="D22" s="289"/>
      <c r="E22" s="289"/>
      <c r="F22" s="289"/>
      <c r="G22" s="289"/>
      <c r="H22" s="289"/>
      <c r="I22" s="289"/>
      <c r="J22" s="295"/>
      <c r="K22" s="289"/>
    </row>
    <row r="23" spans="1:13" ht="20.149999999999999" customHeight="1" x14ac:dyDescent="0.35">
      <c r="A23" s="302"/>
      <c r="B23" s="298" t="s">
        <v>34</v>
      </c>
      <c r="C23" s="278"/>
      <c r="D23" s="279"/>
      <c r="E23" s="279"/>
      <c r="F23" s="279"/>
      <c r="G23" s="279"/>
      <c r="H23" s="279"/>
      <c r="I23" s="279"/>
      <c r="J23" s="279"/>
      <c r="K23" s="279"/>
    </row>
    <row r="24" spans="1:13" ht="27" x14ac:dyDescent="0.35">
      <c r="A24" s="353" t="s">
        <v>83</v>
      </c>
      <c r="B24" s="207" t="s">
        <v>237</v>
      </c>
      <c r="C24" s="201" t="s">
        <v>13</v>
      </c>
      <c r="D24" s="187">
        <v>60</v>
      </c>
      <c r="E24" s="208"/>
      <c r="F24" s="187"/>
      <c r="G24" s="187"/>
      <c r="H24" s="187">
        <f>G24*D24</f>
        <v>0</v>
      </c>
      <c r="I24" s="187"/>
      <c r="J24" s="187">
        <f>I24*D24</f>
        <v>0</v>
      </c>
      <c r="K24" s="187">
        <f t="shared" ref="K24:K50" si="6">J24+H24+F24</f>
        <v>0</v>
      </c>
      <c r="L24" s="148"/>
      <c r="M24" s="202"/>
    </row>
    <row r="25" spans="1:13" x14ac:dyDescent="0.35">
      <c r="A25" s="354"/>
      <c r="B25" s="86" t="s">
        <v>238</v>
      </c>
      <c r="C25" s="2" t="s">
        <v>13</v>
      </c>
      <c r="D25" s="5">
        <f>D24*1.05</f>
        <v>63</v>
      </c>
      <c r="E25" s="5"/>
      <c r="F25" s="5">
        <f>E25*D25</f>
        <v>0</v>
      </c>
      <c r="G25" s="5"/>
      <c r="H25" s="5"/>
      <c r="I25" s="5"/>
      <c r="J25" s="5"/>
      <c r="K25" s="5">
        <f t="shared" si="6"/>
        <v>0</v>
      </c>
    </row>
    <row r="26" spans="1:13" x14ac:dyDescent="0.35">
      <c r="A26" s="354"/>
      <c r="B26" s="86" t="s">
        <v>184</v>
      </c>
      <c r="C26" s="2" t="s">
        <v>13</v>
      </c>
      <c r="D26" s="5">
        <f>D24</f>
        <v>60</v>
      </c>
      <c r="E26" s="5"/>
      <c r="F26" s="5">
        <f t="shared" ref="F26:F27" si="7">E26*D26</f>
        <v>0</v>
      </c>
      <c r="G26" s="5"/>
      <c r="H26" s="5"/>
      <c r="I26" s="5"/>
      <c r="J26" s="5"/>
      <c r="K26" s="5">
        <f t="shared" si="6"/>
        <v>0</v>
      </c>
    </row>
    <row r="27" spans="1:13" x14ac:dyDescent="0.35">
      <c r="A27" s="354"/>
      <c r="B27" s="13" t="s">
        <v>38</v>
      </c>
      <c r="C27" s="2" t="s">
        <v>1</v>
      </c>
      <c r="D27" s="5">
        <f>D24*0.05</f>
        <v>3</v>
      </c>
      <c r="E27" s="5"/>
      <c r="F27" s="5">
        <f t="shared" si="7"/>
        <v>0</v>
      </c>
      <c r="G27" s="5"/>
      <c r="H27" s="5"/>
      <c r="I27" s="5"/>
      <c r="J27" s="5"/>
      <c r="K27" s="5">
        <f t="shared" si="6"/>
        <v>0</v>
      </c>
    </row>
    <row r="28" spans="1:13" ht="40.5" x14ac:dyDescent="0.35">
      <c r="A28" s="353" t="s">
        <v>39</v>
      </c>
      <c r="B28" s="17" t="s">
        <v>467</v>
      </c>
      <c r="C28" s="18" t="s">
        <v>13</v>
      </c>
      <c r="D28" s="19">
        <v>2064</v>
      </c>
      <c r="E28" s="142"/>
      <c r="F28" s="142"/>
      <c r="G28" s="142"/>
      <c r="H28" s="142">
        <f>G28*D28</f>
        <v>0</v>
      </c>
      <c r="I28" s="142"/>
      <c r="J28" s="142">
        <f>I28*D28</f>
        <v>0</v>
      </c>
      <c r="K28" s="5">
        <f t="shared" si="6"/>
        <v>0</v>
      </c>
    </row>
    <row r="29" spans="1:13" x14ac:dyDescent="0.35">
      <c r="A29" s="354"/>
      <c r="B29" s="13" t="s">
        <v>239</v>
      </c>
      <c r="C29" s="2" t="s">
        <v>40</v>
      </c>
      <c r="D29" s="142">
        <f>0.25*D28</f>
        <v>516</v>
      </c>
      <c r="E29" s="5"/>
      <c r="F29" s="142">
        <f>E29*D29</f>
        <v>0</v>
      </c>
      <c r="G29" s="142"/>
      <c r="H29" s="142"/>
      <c r="I29" s="142"/>
      <c r="J29" s="142"/>
      <c r="K29" s="5">
        <f t="shared" si="6"/>
        <v>0</v>
      </c>
    </row>
    <row r="30" spans="1:13" x14ac:dyDescent="0.35">
      <c r="A30" s="354"/>
      <c r="B30" s="13" t="s">
        <v>240</v>
      </c>
      <c r="C30" s="2" t="s">
        <v>40</v>
      </c>
      <c r="D30" s="5">
        <f>0.4*D28</f>
        <v>825.6</v>
      </c>
      <c r="E30" s="5"/>
      <c r="F30" s="142">
        <f t="shared" ref="F30:F36" si="8">E30*D30</f>
        <v>0</v>
      </c>
      <c r="G30" s="142"/>
      <c r="H30" s="142"/>
      <c r="I30" s="142"/>
      <c r="J30" s="142"/>
      <c r="K30" s="5">
        <f t="shared" si="6"/>
        <v>0</v>
      </c>
    </row>
    <row r="31" spans="1:13" x14ac:dyDescent="0.35">
      <c r="A31" s="354"/>
      <c r="B31" s="13" t="s">
        <v>241</v>
      </c>
      <c r="C31" s="2" t="s">
        <v>40</v>
      </c>
      <c r="D31" s="5">
        <f>0.15*D28</f>
        <v>309.59999999999997</v>
      </c>
      <c r="E31" s="5"/>
      <c r="F31" s="142">
        <f t="shared" si="8"/>
        <v>0</v>
      </c>
      <c r="G31" s="142"/>
      <c r="H31" s="142"/>
      <c r="I31" s="142"/>
      <c r="J31" s="142"/>
      <c r="K31" s="5">
        <f t="shared" si="6"/>
        <v>0</v>
      </c>
    </row>
    <row r="32" spans="1:13" x14ac:dyDescent="0.35">
      <c r="A32" s="354"/>
      <c r="B32" s="13" t="s">
        <v>242</v>
      </c>
      <c r="C32" s="2" t="s">
        <v>40</v>
      </c>
      <c r="D32" s="5">
        <f>0.08*D28</f>
        <v>165.12</v>
      </c>
      <c r="E32" s="5"/>
      <c r="F32" s="142">
        <f t="shared" si="8"/>
        <v>0</v>
      </c>
      <c r="G32" s="142"/>
      <c r="H32" s="142"/>
      <c r="I32" s="142"/>
      <c r="J32" s="142"/>
      <c r="K32" s="5">
        <f t="shared" si="6"/>
        <v>0</v>
      </c>
    </row>
    <row r="33" spans="1:12" x14ac:dyDescent="0.35">
      <c r="A33" s="354"/>
      <c r="B33" s="13" t="s">
        <v>243</v>
      </c>
      <c r="C33" s="2" t="s">
        <v>13</v>
      </c>
      <c r="D33" s="5">
        <f>0.009*D28</f>
        <v>18.575999999999997</v>
      </c>
      <c r="E33" s="5"/>
      <c r="F33" s="142">
        <f t="shared" si="8"/>
        <v>0</v>
      </c>
      <c r="G33" s="142"/>
      <c r="H33" s="142"/>
      <c r="I33" s="142"/>
      <c r="J33" s="142"/>
      <c r="K33" s="5">
        <f t="shared" si="6"/>
        <v>0</v>
      </c>
    </row>
    <row r="34" spans="1:12" x14ac:dyDescent="0.35">
      <c r="A34" s="354"/>
      <c r="B34" s="13" t="s">
        <v>244</v>
      </c>
      <c r="C34" s="2" t="s">
        <v>22</v>
      </c>
      <c r="D34" s="5">
        <f>0.4*D28</f>
        <v>825.6</v>
      </c>
      <c r="E34" s="5"/>
      <c r="F34" s="142">
        <f t="shared" si="8"/>
        <v>0</v>
      </c>
      <c r="G34" s="142"/>
      <c r="H34" s="142"/>
      <c r="I34" s="142"/>
      <c r="J34" s="142"/>
      <c r="K34" s="5">
        <f t="shared" si="6"/>
        <v>0</v>
      </c>
    </row>
    <row r="35" spans="1:12" x14ac:dyDescent="0.35">
      <c r="A35" s="354"/>
      <c r="B35" s="13" t="s">
        <v>245</v>
      </c>
      <c r="C35" s="2" t="s">
        <v>22</v>
      </c>
      <c r="D35" s="5">
        <f>0.3*D28</f>
        <v>619.19999999999993</v>
      </c>
      <c r="E35" s="5"/>
      <c r="F35" s="142">
        <f t="shared" si="8"/>
        <v>0</v>
      </c>
      <c r="G35" s="142"/>
      <c r="H35" s="142"/>
      <c r="I35" s="142"/>
      <c r="J35" s="142"/>
      <c r="K35" s="5">
        <f t="shared" si="6"/>
        <v>0</v>
      </c>
    </row>
    <row r="36" spans="1:12" x14ac:dyDescent="0.35">
      <c r="A36" s="354"/>
      <c r="B36" s="13" t="s">
        <v>38</v>
      </c>
      <c r="C36" s="2" t="s">
        <v>1</v>
      </c>
      <c r="D36" s="5">
        <f>D28*0.02</f>
        <v>41.28</v>
      </c>
      <c r="E36" s="5"/>
      <c r="F36" s="142">
        <f t="shared" si="8"/>
        <v>0</v>
      </c>
      <c r="G36" s="5"/>
      <c r="H36" s="5"/>
      <c r="I36" s="5"/>
      <c r="J36" s="5"/>
      <c r="K36" s="5">
        <f t="shared" si="6"/>
        <v>0</v>
      </c>
    </row>
    <row r="37" spans="1:12" ht="40.5" x14ac:dyDescent="0.35">
      <c r="A37" s="354" t="s">
        <v>41</v>
      </c>
      <c r="B37" s="17" t="s">
        <v>42</v>
      </c>
      <c r="C37" s="18" t="s">
        <v>13</v>
      </c>
      <c r="D37" s="20">
        <v>86</v>
      </c>
      <c r="E37" s="139"/>
      <c r="F37" s="139"/>
      <c r="G37" s="139"/>
      <c r="H37" s="139">
        <f>G37*D37</f>
        <v>0</v>
      </c>
      <c r="I37" s="139"/>
      <c r="J37" s="21">
        <f>I37*D37</f>
        <v>0</v>
      </c>
      <c r="K37" s="5">
        <f t="shared" si="6"/>
        <v>0</v>
      </c>
    </row>
    <row r="38" spans="1:12" x14ac:dyDescent="0.35">
      <c r="A38" s="354"/>
      <c r="B38" s="13" t="s">
        <v>43</v>
      </c>
      <c r="C38" s="2" t="s">
        <v>40</v>
      </c>
      <c r="D38" s="5">
        <f>0.4*D37</f>
        <v>34.4</v>
      </c>
      <c r="E38" s="142"/>
      <c r="F38" s="142">
        <f>E38*D38</f>
        <v>0</v>
      </c>
      <c r="G38" s="142"/>
      <c r="H38" s="142"/>
      <c r="I38" s="142"/>
      <c r="J38" s="142"/>
      <c r="K38" s="5">
        <f t="shared" si="6"/>
        <v>0</v>
      </c>
    </row>
    <row r="39" spans="1:12" x14ac:dyDescent="0.35">
      <c r="A39" s="354"/>
      <c r="B39" s="13" t="s">
        <v>44</v>
      </c>
      <c r="C39" s="2" t="s">
        <v>40</v>
      </c>
      <c r="D39" s="5">
        <f>0.08*D37</f>
        <v>6.88</v>
      </c>
      <c r="E39" s="142"/>
      <c r="F39" s="142">
        <f t="shared" ref="F39:F41" si="9">E39*D39</f>
        <v>0</v>
      </c>
      <c r="G39" s="142"/>
      <c r="H39" s="142"/>
      <c r="I39" s="142"/>
      <c r="J39" s="142"/>
      <c r="K39" s="5">
        <f t="shared" si="6"/>
        <v>0</v>
      </c>
    </row>
    <row r="40" spans="1:12" x14ac:dyDescent="0.35">
      <c r="A40" s="354"/>
      <c r="B40" s="13" t="s">
        <v>45</v>
      </c>
      <c r="C40" s="2" t="s">
        <v>13</v>
      </c>
      <c r="D40" s="5">
        <f>0.009*D37</f>
        <v>0.77399999999999991</v>
      </c>
      <c r="E40" s="142"/>
      <c r="F40" s="142">
        <f t="shared" si="9"/>
        <v>0</v>
      </c>
      <c r="G40" s="142"/>
      <c r="H40" s="142"/>
      <c r="I40" s="142"/>
      <c r="J40" s="142"/>
      <c r="K40" s="5">
        <f t="shared" si="6"/>
        <v>0</v>
      </c>
    </row>
    <row r="41" spans="1:12" x14ac:dyDescent="0.35">
      <c r="A41" s="354"/>
      <c r="B41" s="13" t="s">
        <v>38</v>
      </c>
      <c r="C41" s="2" t="s">
        <v>1</v>
      </c>
      <c r="D41" s="5">
        <f>D37*0.02</f>
        <v>1.72</v>
      </c>
      <c r="E41" s="5"/>
      <c r="F41" s="142">
        <f t="shared" si="9"/>
        <v>0</v>
      </c>
      <c r="G41" s="5"/>
      <c r="H41" s="5"/>
      <c r="I41" s="5"/>
      <c r="J41" s="5"/>
      <c r="K41" s="5">
        <f t="shared" si="6"/>
        <v>0</v>
      </c>
    </row>
    <row r="42" spans="1:12" ht="27" x14ac:dyDescent="0.35">
      <c r="A42" s="354" t="s">
        <v>46</v>
      </c>
      <c r="B42" s="17" t="s">
        <v>47</v>
      </c>
      <c r="C42" s="18" t="s">
        <v>13</v>
      </c>
      <c r="D42" s="20">
        <v>4</v>
      </c>
      <c r="E42" s="139"/>
      <c r="F42" s="139"/>
      <c r="G42" s="139"/>
      <c r="H42" s="139">
        <f>G42*D42</f>
        <v>0</v>
      </c>
      <c r="I42" s="139"/>
      <c r="J42" s="21">
        <f>I42*D42</f>
        <v>0</v>
      </c>
      <c r="K42" s="5">
        <f t="shared" si="6"/>
        <v>0</v>
      </c>
      <c r="L42" s="22"/>
    </row>
    <row r="43" spans="1:12" x14ac:dyDescent="0.35">
      <c r="A43" s="354"/>
      <c r="B43" s="13" t="s">
        <v>48</v>
      </c>
      <c r="C43" s="2" t="s">
        <v>40</v>
      </c>
      <c r="D43" s="5">
        <f>0.4*D42</f>
        <v>1.6</v>
      </c>
      <c r="E43" s="142"/>
      <c r="F43" s="142">
        <f>E43*D43</f>
        <v>0</v>
      </c>
      <c r="G43" s="142"/>
      <c r="H43" s="142"/>
      <c r="I43" s="142"/>
      <c r="J43" s="142"/>
      <c r="K43" s="5">
        <f t="shared" si="6"/>
        <v>0</v>
      </c>
    </row>
    <row r="44" spans="1:12" x14ac:dyDescent="0.35">
      <c r="A44" s="354"/>
      <c r="B44" s="13" t="s">
        <v>49</v>
      </c>
      <c r="C44" s="2" t="s">
        <v>40</v>
      </c>
      <c r="D44" s="5">
        <f>0.08*D42</f>
        <v>0.32</v>
      </c>
      <c r="E44" s="142"/>
      <c r="F44" s="142">
        <f t="shared" ref="F44:F46" si="10">E44*D44</f>
        <v>0</v>
      </c>
      <c r="G44" s="142"/>
      <c r="H44" s="142"/>
      <c r="I44" s="142"/>
      <c r="J44" s="142"/>
      <c r="K44" s="5">
        <f t="shared" si="6"/>
        <v>0</v>
      </c>
    </row>
    <row r="45" spans="1:12" x14ac:dyDescent="0.35">
      <c r="A45" s="354"/>
      <c r="B45" s="13" t="s">
        <v>50</v>
      </c>
      <c r="C45" s="2" t="s">
        <v>13</v>
      </c>
      <c r="D45" s="5">
        <f>0.009*D42</f>
        <v>3.5999999999999997E-2</v>
      </c>
      <c r="E45" s="142"/>
      <c r="F45" s="142">
        <f t="shared" si="10"/>
        <v>0</v>
      </c>
      <c r="G45" s="142"/>
      <c r="H45" s="142"/>
      <c r="I45" s="142"/>
      <c r="J45" s="142"/>
      <c r="K45" s="5">
        <f t="shared" si="6"/>
        <v>0</v>
      </c>
    </row>
    <row r="46" spans="1:12" x14ac:dyDescent="0.35">
      <c r="A46" s="355"/>
      <c r="B46" s="13" t="s">
        <v>38</v>
      </c>
      <c r="C46" s="2" t="s">
        <v>1</v>
      </c>
      <c r="D46" s="5">
        <f>D42*0.02</f>
        <v>0.08</v>
      </c>
      <c r="E46" s="5"/>
      <c r="F46" s="142">
        <f t="shared" si="10"/>
        <v>0</v>
      </c>
      <c r="G46" s="5"/>
      <c r="H46" s="5"/>
      <c r="I46" s="5"/>
      <c r="J46" s="5"/>
      <c r="K46" s="5">
        <f t="shared" si="6"/>
        <v>0</v>
      </c>
    </row>
    <row r="47" spans="1:12" ht="27" x14ac:dyDescent="0.35">
      <c r="A47" s="353" t="s">
        <v>51</v>
      </c>
      <c r="B47" s="17" t="s">
        <v>36</v>
      </c>
      <c r="C47" s="18" t="s">
        <v>22</v>
      </c>
      <c r="D47" s="19">
        <v>64</v>
      </c>
      <c r="E47" s="5"/>
      <c r="F47" s="5"/>
      <c r="G47" s="5"/>
      <c r="H47" s="5">
        <f>G47*D47</f>
        <v>0</v>
      </c>
      <c r="I47" s="5"/>
      <c r="J47" s="5">
        <f>I47*D47</f>
        <v>0</v>
      </c>
      <c r="K47" s="5">
        <f t="shared" si="6"/>
        <v>0</v>
      </c>
    </row>
    <row r="48" spans="1:12" x14ac:dyDescent="0.35">
      <c r="A48" s="354"/>
      <c r="B48" s="13" t="s">
        <v>37</v>
      </c>
      <c r="C48" s="2" t="s">
        <v>22</v>
      </c>
      <c r="D48" s="5">
        <f>D47</f>
        <v>64</v>
      </c>
      <c r="E48" s="5"/>
      <c r="F48" s="5">
        <f>E48*D48</f>
        <v>0</v>
      </c>
      <c r="G48" s="5"/>
      <c r="H48" s="5"/>
      <c r="I48" s="5"/>
      <c r="J48" s="5"/>
      <c r="K48" s="5">
        <f t="shared" si="6"/>
        <v>0</v>
      </c>
    </row>
    <row r="49" spans="1:11" x14ac:dyDescent="0.35">
      <c r="A49" s="355"/>
      <c r="B49" s="13" t="s">
        <v>38</v>
      </c>
      <c r="C49" s="2" t="s">
        <v>1</v>
      </c>
      <c r="D49" s="5">
        <f>D47*0.1</f>
        <v>6.4</v>
      </c>
      <c r="E49" s="5"/>
      <c r="F49" s="5">
        <f>E49*D49</f>
        <v>0</v>
      </c>
      <c r="G49" s="5"/>
      <c r="H49" s="5"/>
      <c r="I49" s="5"/>
      <c r="J49" s="5"/>
      <c r="K49" s="5">
        <f t="shared" si="6"/>
        <v>0</v>
      </c>
    </row>
    <row r="50" spans="1:11" x14ac:dyDescent="0.35">
      <c r="A50" s="203"/>
      <c r="B50" s="196" t="s">
        <v>468</v>
      </c>
      <c r="C50" s="190" t="s">
        <v>22</v>
      </c>
      <c r="D50" s="195">
        <f>154*0.4</f>
        <v>61.6</v>
      </c>
      <c r="E50" s="195"/>
      <c r="F50" s="195">
        <f>E50*D50</f>
        <v>0</v>
      </c>
      <c r="G50" s="195"/>
      <c r="H50" s="191">
        <f>G50*D50</f>
        <v>0</v>
      </c>
      <c r="I50" s="191"/>
      <c r="J50" s="191">
        <f>I50*D50</f>
        <v>0</v>
      </c>
      <c r="K50" s="191">
        <f t="shared" si="6"/>
        <v>0</v>
      </c>
    </row>
    <row r="51" spans="1:11" x14ac:dyDescent="0.35">
      <c r="A51" s="276" t="s">
        <v>186</v>
      </c>
      <c r="B51" s="277" t="s">
        <v>77</v>
      </c>
      <c r="C51" s="278"/>
      <c r="D51" s="279"/>
      <c r="E51" s="279"/>
      <c r="F51" s="279"/>
      <c r="G51" s="279"/>
      <c r="H51" s="279"/>
      <c r="I51" s="279"/>
      <c r="J51" s="279"/>
      <c r="K51" s="279"/>
    </row>
    <row r="52" spans="1:11" ht="40.5" x14ac:dyDescent="0.35">
      <c r="A52" s="166" t="s">
        <v>62</v>
      </c>
      <c r="B52" s="27" t="s">
        <v>79</v>
      </c>
      <c r="C52" s="28" t="s">
        <v>16</v>
      </c>
      <c r="D52" s="20">
        <v>49</v>
      </c>
      <c r="E52" s="7"/>
      <c r="F52" s="7">
        <f>E52*D52</f>
        <v>0</v>
      </c>
      <c r="G52" s="139"/>
      <c r="H52" s="142">
        <f>G52*D52</f>
        <v>0</v>
      </c>
      <c r="I52" s="139"/>
      <c r="J52" s="10">
        <f>I52*D52</f>
        <v>0</v>
      </c>
      <c r="K52" s="142">
        <f>J52+H52+F52</f>
        <v>0</v>
      </c>
    </row>
    <row r="53" spans="1:11" x14ac:dyDescent="0.35">
      <c r="A53" s="297"/>
      <c r="B53" s="298" t="s">
        <v>81</v>
      </c>
      <c r="C53" s="299"/>
      <c r="D53" s="300"/>
      <c r="E53" s="300"/>
      <c r="F53" s="300"/>
      <c r="G53" s="300"/>
      <c r="H53" s="300"/>
      <c r="I53" s="300"/>
      <c r="J53" s="300"/>
      <c r="K53" s="300"/>
    </row>
    <row r="54" spans="1:11" ht="27" x14ac:dyDescent="0.35">
      <c r="A54" s="381" t="s">
        <v>53</v>
      </c>
      <c r="B54" s="200" t="s">
        <v>246</v>
      </c>
      <c r="C54" s="201" t="s">
        <v>13</v>
      </c>
      <c r="D54" s="148">
        <f>D9</f>
        <v>150</v>
      </c>
      <c r="E54" s="187"/>
      <c r="F54" s="187"/>
      <c r="G54" s="187"/>
      <c r="H54" s="187">
        <f>G54*D54</f>
        <v>0</v>
      </c>
      <c r="I54" s="187"/>
      <c r="J54" s="187">
        <f>I54*D54</f>
        <v>0</v>
      </c>
      <c r="K54" s="187">
        <f>J54+H54+F54</f>
        <v>0</v>
      </c>
    </row>
    <row r="55" spans="1:11" x14ac:dyDescent="0.35">
      <c r="A55" s="382"/>
      <c r="B55" s="209" t="s">
        <v>134</v>
      </c>
      <c r="C55" s="186" t="s">
        <v>13</v>
      </c>
      <c r="D55" s="187">
        <f>D54</f>
        <v>150</v>
      </c>
      <c r="E55" s="187"/>
      <c r="F55" s="187">
        <f>E55*D55</f>
        <v>0</v>
      </c>
      <c r="G55" s="187"/>
      <c r="H55" s="187"/>
      <c r="I55" s="187"/>
      <c r="J55" s="187"/>
      <c r="K55" s="187">
        <f t="shared" ref="K55:K65" si="11">J55+H55+F55</f>
        <v>0</v>
      </c>
    </row>
    <row r="56" spans="1:11" x14ac:dyDescent="0.35">
      <c r="A56" s="353" t="s">
        <v>171</v>
      </c>
      <c r="B56" s="17" t="s">
        <v>82</v>
      </c>
      <c r="C56" s="18" t="s">
        <v>13</v>
      </c>
      <c r="D56" s="19">
        <f>D12</f>
        <v>75</v>
      </c>
      <c r="E56" s="142"/>
      <c r="F56" s="5">
        <f t="shared" ref="F56:F65" si="12">E56*D56</f>
        <v>0</v>
      </c>
      <c r="G56" s="142"/>
      <c r="H56" s="142">
        <f t="shared" ref="H56:H65" si="13">G56*D56</f>
        <v>0</v>
      </c>
      <c r="I56" s="142"/>
      <c r="J56" s="10">
        <f t="shared" ref="J56:J65" si="14">I56*D56</f>
        <v>0</v>
      </c>
      <c r="K56" s="142">
        <f t="shared" si="11"/>
        <v>0</v>
      </c>
    </row>
    <row r="57" spans="1:11" ht="27" x14ac:dyDescent="0.35">
      <c r="A57" s="354"/>
      <c r="B57" s="13" t="s">
        <v>55</v>
      </c>
      <c r="C57" s="2" t="s">
        <v>13</v>
      </c>
      <c r="D57" s="142">
        <f>D56</f>
        <v>75</v>
      </c>
      <c r="E57" s="142"/>
      <c r="F57" s="5">
        <f t="shared" si="12"/>
        <v>0</v>
      </c>
      <c r="G57" s="142"/>
      <c r="H57" s="142">
        <f t="shared" si="13"/>
        <v>0</v>
      </c>
      <c r="I57" s="142"/>
      <c r="J57" s="10">
        <f t="shared" si="14"/>
        <v>0</v>
      </c>
      <c r="K57" s="142">
        <f t="shared" si="11"/>
        <v>0</v>
      </c>
    </row>
    <row r="58" spans="1:11" x14ac:dyDescent="0.35">
      <c r="A58" s="354"/>
      <c r="B58" s="13" t="s">
        <v>38</v>
      </c>
      <c r="C58" s="2" t="s">
        <v>1</v>
      </c>
      <c r="D58" s="142">
        <f>D56*0.03</f>
        <v>2.25</v>
      </c>
      <c r="E58" s="142"/>
      <c r="F58" s="5">
        <f t="shared" si="12"/>
        <v>0</v>
      </c>
      <c r="G58" s="142"/>
      <c r="H58" s="142">
        <f t="shared" si="13"/>
        <v>0</v>
      </c>
      <c r="I58" s="142"/>
      <c r="J58" s="10">
        <f t="shared" si="14"/>
        <v>0</v>
      </c>
      <c r="K58" s="142">
        <f t="shared" si="11"/>
        <v>0</v>
      </c>
    </row>
    <row r="59" spans="1:11" ht="27" x14ac:dyDescent="0.35">
      <c r="A59" s="355"/>
      <c r="B59" s="13" t="s">
        <v>56</v>
      </c>
      <c r="C59" s="2" t="s">
        <v>13</v>
      </c>
      <c r="D59" s="5">
        <f>D56-D56*8%</f>
        <v>69</v>
      </c>
      <c r="E59" s="142"/>
      <c r="F59" s="5">
        <f t="shared" si="12"/>
        <v>0</v>
      </c>
      <c r="G59" s="142"/>
      <c r="H59" s="142">
        <f t="shared" si="13"/>
        <v>0</v>
      </c>
      <c r="I59" s="142"/>
      <c r="J59" s="10">
        <f t="shared" si="14"/>
        <v>0</v>
      </c>
      <c r="K59" s="142">
        <f t="shared" si="11"/>
        <v>0</v>
      </c>
    </row>
    <row r="60" spans="1:11" x14ac:dyDescent="0.35">
      <c r="A60" s="292"/>
      <c r="B60" s="286" t="s">
        <v>58</v>
      </c>
      <c r="C60" s="293"/>
      <c r="D60" s="294"/>
      <c r="E60" s="289"/>
      <c r="F60" s="279">
        <f t="shared" si="12"/>
        <v>0</v>
      </c>
      <c r="G60" s="289"/>
      <c r="H60" s="279">
        <f t="shared" si="13"/>
        <v>0</v>
      </c>
      <c r="I60" s="289"/>
      <c r="J60" s="295">
        <f t="shared" si="14"/>
        <v>0</v>
      </c>
      <c r="K60" s="279">
        <f t="shared" si="11"/>
        <v>0</v>
      </c>
    </row>
    <row r="61" spans="1:11" x14ac:dyDescent="0.35">
      <c r="A61" s="11" t="s">
        <v>64</v>
      </c>
      <c r="B61" s="24" t="s">
        <v>59</v>
      </c>
      <c r="C61" s="2" t="s">
        <v>16</v>
      </c>
      <c r="D61" s="7">
        <f>D10</f>
        <v>118</v>
      </c>
      <c r="E61" s="7"/>
      <c r="F61" s="5">
        <f t="shared" si="12"/>
        <v>0</v>
      </c>
      <c r="G61" s="7"/>
      <c r="H61" s="142">
        <f t="shared" si="13"/>
        <v>0</v>
      </c>
      <c r="I61" s="7"/>
      <c r="J61" s="10">
        <f t="shared" si="14"/>
        <v>0</v>
      </c>
      <c r="K61" s="142">
        <f t="shared" si="11"/>
        <v>0</v>
      </c>
    </row>
    <row r="62" spans="1:11" ht="27" x14ac:dyDescent="0.35">
      <c r="A62" s="358" t="s">
        <v>65</v>
      </c>
      <c r="B62" s="25" t="s">
        <v>60</v>
      </c>
      <c r="C62" s="2" t="s">
        <v>16</v>
      </c>
      <c r="D62" s="7">
        <f>D11</f>
        <v>56</v>
      </c>
      <c r="E62" s="7"/>
      <c r="F62" s="5">
        <f t="shared" si="12"/>
        <v>0</v>
      </c>
      <c r="G62" s="7"/>
      <c r="H62" s="142">
        <f t="shared" si="13"/>
        <v>0</v>
      </c>
      <c r="I62" s="7"/>
      <c r="J62" s="10">
        <f t="shared" si="14"/>
        <v>0</v>
      </c>
      <c r="K62" s="142">
        <f t="shared" si="11"/>
        <v>0</v>
      </c>
    </row>
    <row r="63" spans="1:11" x14ac:dyDescent="0.35">
      <c r="A63" s="360"/>
      <c r="B63" s="25" t="s">
        <v>38</v>
      </c>
      <c r="C63" s="2" t="s">
        <v>1</v>
      </c>
      <c r="D63" s="7">
        <v>10</v>
      </c>
      <c r="E63" s="7"/>
      <c r="F63" s="5">
        <f t="shared" si="12"/>
        <v>0</v>
      </c>
      <c r="G63" s="7"/>
      <c r="H63" s="142">
        <f t="shared" si="13"/>
        <v>0</v>
      </c>
      <c r="I63" s="7"/>
      <c r="J63" s="10">
        <f t="shared" si="14"/>
        <v>0</v>
      </c>
      <c r="K63" s="142">
        <f t="shared" si="11"/>
        <v>0</v>
      </c>
    </row>
    <row r="64" spans="1:11" x14ac:dyDescent="0.35">
      <c r="A64" s="164" t="s">
        <v>66</v>
      </c>
      <c r="B64" s="25" t="s">
        <v>84</v>
      </c>
      <c r="C64" s="2" t="s">
        <v>16</v>
      </c>
      <c r="D64" s="7">
        <f>D17</f>
        <v>95</v>
      </c>
      <c r="E64" s="7"/>
      <c r="F64" s="5">
        <f t="shared" si="12"/>
        <v>0</v>
      </c>
      <c r="G64" s="7"/>
      <c r="H64" s="142">
        <f t="shared" si="13"/>
        <v>0</v>
      </c>
      <c r="I64" s="7"/>
      <c r="J64" s="10">
        <f t="shared" si="14"/>
        <v>0</v>
      </c>
      <c r="K64" s="142">
        <f t="shared" si="11"/>
        <v>0</v>
      </c>
    </row>
    <row r="65" spans="1:11" x14ac:dyDescent="0.35">
      <c r="A65" s="164" t="s">
        <v>136</v>
      </c>
      <c r="B65" s="25" t="s">
        <v>86</v>
      </c>
      <c r="C65" s="2" t="s">
        <v>16</v>
      </c>
      <c r="D65" s="7">
        <f>D18</f>
        <v>43</v>
      </c>
      <c r="E65" s="7"/>
      <c r="F65" s="5">
        <f t="shared" si="12"/>
        <v>0</v>
      </c>
      <c r="G65" s="7"/>
      <c r="H65" s="142">
        <f t="shared" si="13"/>
        <v>0</v>
      </c>
      <c r="I65" s="7"/>
      <c r="J65" s="10">
        <f t="shared" si="14"/>
        <v>0</v>
      </c>
      <c r="K65" s="142">
        <f t="shared" si="11"/>
        <v>0</v>
      </c>
    </row>
    <row r="66" spans="1:11" x14ac:dyDescent="0.35">
      <c r="A66" s="285"/>
      <c r="B66" s="286" t="s">
        <v>61</v>
      </c>
      <c r="C66" s="287"/>
      <c r="D66" s="288"/>
      <c r="E66" s="289"/>
      <c r="F66" s="289"/>
      <c r="G66" s="289"/>
      <c r="H66" s="289"/>
      <c r="I66" s="289"/>
      <c r="J66" s="290"/>
      <c r="K66" s="289"/>
    </row>
    <row r="67" spans="1:11" ht="27" x14ac:dyDescent="0.35">
      <c r="A67" s="11" t="s">
        <v>190</v>
      </c>
      <c r="B67" s="16" t="s">
        <v>63</v>
      </c>
      <c r="C67" s="26" t="s">
        <v>16</v>
      </c>
      <c r="D67" s="7">
        <v>37</v>
      </c>
      <c r="E67" s="7"/>
      <c r="F67" s="7">
        <f>E67*D67</f>
        <v>0</v>
      </c>
      <c r="G67" s="7"/>
      <c r="H67" s="7">
        <f>G67*D67</f>
        <v>0</v>
      </c>
      <c r="I67" s="7"/>
      <c r="J67" s="8">
        <f>I67*D67</f>
        <v>0</v>
      </c>
      <c r="K67" s="7">
        <f>J67+H67+F67</f>
        <v>0</v>
      </c>
    </row>
    <row r="68" spans="1:11" ht="20.149999999999999" customHeight="1" x14ac:dyDescent="0.35">
      <c r="A68" s="63"/>
      <c r="B68" s="64" t="s">
        <v>87</v>
      </c>
      <c r="C68" s="65"/>
      <c r="D68" s="66"/>
      <c r="E68" s="66"/>
      <c r="F68" s="67">
        <f>SUM(F9:F67)</f>
        <v>0</v>
      </c>
      <c r="G68" s="134"/>
      <c r="H68" s="67">
        <f>SUM(H9:H67)</f>
        <v>0</v>
      </c>
      <c r="I68" s="67"/>
      <c r="J68" s="135">
        <f>SUM(J9:J67)</f>
        <v>0</v>
      </c>
      <c r="K68" s="67">
        <f>SUM(K9:K67)</f>
        <v>0</v>
      </c>
    </row>
    <row r="69" spans="1:11" ht="15" customHeight="1" x14ac:dyDescent="0.35">
      <c r="A69" s="30"/>
      <c r="B69" s="31" t="s">
        <v>67</v>
      </c>
      <c r="C69" s="32" t="s">
        <v>484</v>
      </c>
      <c r="D69" s="33"/>
      <c r="E69" s="33"/>
      <c r="F69" s="33"/>
      <c r="G69" s="33"/>
      <c r="H69" s="33"/>
      <c r="I69" s="33"/>
      <c r="J69" s="33"/>
      <c r="K69" s="34" t="e">
        <f>F68*C69</f>
        <v>#VALUE!</v>
      </c>
    </row>
    <row r="70" spans="1:11" ht="15" customHeight="1" x14ac:dyDescent="0.35">
      <c r="A70" s="30"/>
      <c r="B70" s="35" t="s">
        <v>9</v>
      </c>
      <c r="C70" s="143"/>
      <c r="D70" s="33"/>
      <c r="E70" s="33"/>
      <c r="F70" s="33"/>
      <c r="G70" s="33"/>
      <c r="H70" s="33"/>
      <c r="I70" s="33"/>
      <c r="J70" s="33"/>
      <c r="K70" s="34" t="e">
        <f>SUM(K68:K69)</f>
        <v>#VALUE!</v>
      </c>
    </row>
    <row r="71" spans="1:11" ht="15" customHeight="1" x14ac:dyDescent="0.35">
      <c r="A71" s="30"/>
      <c r="B71" s="31" t="s">
        <v>68</v>
      </c>
      <c r="C71" s="32" t="s">
        <v>484</v>
      </c>
      <c r="D71" s="33"/>
      <c r="E71" s="33"/>
      <c r="F71" s="33"/>
      <c r="G71" s="33"/>
      <c r="H71" s="33"/>
      <c r="I71" s="33"/>
      <c r="J71" s="33"/>
      <c r="K71" s="34" t="e">
        <f>K70*C71</f>
        <v>#VALUE!</v>
      </c>
    </row>
    <row r="72" spans="1:11" ht="15" customHeight="1" x14ac:dyDescent="0.35">
      <c r="A72" s="30"/>
      <c r="B72" s="35" t="s">
        <v>9</v>
      </c>
      <c r="C72" s="143"/>
      <c r="D72" s="33"/>
      <c r="E72" s="33"/>
      <c r="F72" s="33"/>
      <c r="G72" s="33"/>
      <c r="H72" s="33"/>
      <c r="I72" s="33"/>
      <c r="J72" s="33"/>
      <c r="K72" s="34" t="e">
        <f>SUM(K70:K71)</f>
        <v>#VALUE!</v>
      </c>
    </row>
    <row r="73" spans="1:11" ht="15" customHeight="1" x14ac:dyDescent="0.35">
      <c r="A73" s="30"/>
      <c r="B73" s="31" t="s">
        <v>69</v>
      </c>
      <c r="C73" s="32" t="s">
        <v>484</v>
      </c>
      <c r="D73" s="33"/>
      <c r="E73" s="33"/>
      <c r="F73" s="33"/>
      <c r="G73" s="33"/>
      <c r="H73" s="33"/>
      <c r="I73" s="33"/>
      <c r="J73" s="33"/>
      <c r="K73" s="34" t="e">
        <f>K72*C73</f>
        <v>#VALUE!</v>
      </c>
    </row>
    <row r="74" spans="1:11" ht="15" customHeight="1" x14ac:dyDescent="0.35">
      <c r="A74" s="36"/>
      <c r="B74" s="35" t="s">
        <v>9</v>
      </c>
      <c r="C74" s="143"/>
      <c r="D74" s="33"/>
      <c r="E74" s="33"/>
      <c r="F74" s="33"/>
      <c r="G74" s="33"/>
      <c r="H74" s="33"/>
      <c r="I74" s="33"/>
      <c r="J74" s="33"/>
      <c r="K74" s="34" t="e">
        <f>SUM(K72:K73)</f>
        <v>#VALUE!</v>
      </c>
    </row>
    <row r="75" spans="1:11" ht="15" customHeight="1" x14ac:dyDescent="0.35">
      <c r="A75" s="36"/>
      <c r="B75" s="31" t="s">
        <v>70</v>
      </c>
      <c r="C75" s="37" t="s">
        <v>484</v>
      </c>
      <c r="D75" s="33"/>
      <c r="E75" s="33"/>
      <c r="F75" s="33"/>
      <c r="G75" s="33"/>
      <c r="H75" s="33"/>
      <c r="I75" s="33"/>
      <c r="J75" s="33"/>
      <c r="K75" s="34" t="e">
        <f>K74*C75</f>
        <v>#VALUE!</v>
      </c>
    </row>
    <row r="76" spans="1:11" ht="15" customHeight="1" x14ac:dyDescent="0.35">
      <c r="A76" s="36"/>
      <c r="B76" s="31" t="s">
        <v>71</v>
      </c>
      <c r="C76" s="37">
        <v>0.02</v>
      </c>
      <c r="D76" s="33"/>
      <c r="E76" s="33"/>
      <c r="F76" s="33"/>
      <c r="G76" s="33"/>
      <c r="H76" s="33"/>
      <c r="I76" s="33"/>
      <c r="J76" s="33"/>
      <c r="K76" s="34">
        <f>H68*C76</f>
        <v>0</v>
      </c>
    </row>
    <row r="77" spans="1:11" ht="15" customHeight="1" x14ac:dyDescent="0.35">
      <c r="A77" s="30"/>
      <c r="B77" s="38" t="s">
        <v>9</v>
      </c>
      <c r="C77" s="143"/>
      <c r="D77" s="33"/>
      <c r="E77" s="33"/>
      <c r="F77" s="33"/>
      <c r="G77" s="33"/>
      <c r="H77" s="33"/>
      <c r="I77" s="33"/>
      <c r="J77" s="33"/>
      <c r="K77" s="34" t="e">
        <f>SUM(K74:K76)</f>
        <v>#VALUE!</v>
      </c>
    </row>
    <row r="78" spans="1:11" ht="15" customHeight="1" x14ac:dyDescent="0.35">
      <c r="A78" s="30"/>
      <c r="B78" s="29" t="s">
        <v>72</v>
      </c>
      <c r="C78" s="32">
        <v>0.18</v>
      </c>
      <c r="D78" s="33"/>
      <c r="E78" s="33"/>
      <c r="F78" s="33"/>
      <c r="G78" s="33"/>
      <c r="H78" s="33"/>
      <c r="I78" s="33"/>
      <c r="J78" s="33"/>
      <c r="K78" s="34" t="e">
        <f>K77*C78</f>
        <v>#VALUE!</v>
      </c>
    </row>
    <row r="79" spans="1:11" ht="20.149999999999999" customHeight="1" x14ac:dyDescent="0.35">
      <c r="A79" s="280"/>
      <c r="B79" s="281" t="s">
        <v>340</v>
      </c>
      <c r="C79" s="282"/>
      <c r="D79" s="283"/>
      <c r="E79" s="283"/>
      <c r="F79" s="283"/>
      <c r="G79" s="283"/>
      <c r="H79" s="283"/>
      <c r="I79" s="283"/>
      <c r="J79" s="283"/>
      <c r="K79" s="307" t="e">
        <f>SUM(K77:K78)</f>
        <v>#VALUE!</v>
      </c>
    </row>
    <row r="80" spans="1:11" ht="20.149999999999999" customHeight="1" x14ac:dyDescent="0.35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1:11" ht="20.149999999999999" customHeight="1" x14ac:dyDescent="0.35">
      <c r="A81" s="68"/>
      <c r="B81" s="68"/>
      <c r="C81" s="68"/>
      <c r="D81" s="106"/>
      <c r="E81" s="68"/>
      <c r="F81" s="68"/>
      <c r="G81" s="68"/>
      <c r="H81" s="68"/>
      <c r="I81" s="68"/>
      <c r="J81" s="68"/>
      <c r="K81" s="68"/>
    </row>
    <row r="82" spans="1:11" ht="20.149999999999999" customHeight="1" x14ac:dyDescent="0.35">
      <c r="A82" s="117"/>
      <c r="B82" s="75" t="s">
        <v>381</v>
      </c>
      <c r="C82" s="117"/>
      <c r="D82" s="118"/>
      <c r="E82" s="117"/>
      <c r="F82" s="117"/>
      <c r="G82" s="117"/>
      <c r="H82" s="117"/>
      <c r="I82" s="117"/>
      <c r="J82" s="117"/>
      <c r="K82" s="119" t="e">
        <f>K79</f>
        <v>#VALUE!</v>
      </c>
    </row>
  </sheetData>
  <autoFilter ref="A8:L82" xr:uid="{00000000-0009-0000-0000-000003000000}"/>
  <mergeCells count="22">
    <mergeCell ref="A56:A59"/>
    <mergeCell ref="A62:A63"/>
    <mergeCell ref="I5:J5"/>
    <mergeCell ref="K5:K6"/>
    <mergeCell ref="A24:A27"/>
    <mergeCell ref="A28:A36"/>
    <mergeCell ref="A37:A41"/>
    <mergeCell ref="A42:A46"/>
    <mergeCell ref="A5:A6"/>
    <mergeCell ref="B5:B6"/>
    <mergeCell ref="C5:C6"/>
    <mergeCell ref="D5:D6"/>
    <mergeCell ref="E5:F5"/>
    <mergeCell ref="G5:H5"/>
    <mergeCell ref="A47:A49"/>
    <mergeCell ref="A54:A55"/>
    <mergeCell ref="A4:K4"/>
    <mergeCell ref="B1:J1"/>
    <mergeCell ref="B2:J2"/>
    <mergeCell ref="A3:C3"/>
    <mergeCell ref="D3:H3"/>
    <mergeCell ref="I3:J3"/>
  </mergeCells>
  <pageMargins left="0.45" right="0.45" top="0.5" bottom="0.5" header="0.3" footer="0.3"/>
  <pageSetup scale="83" orientation="landscape" horizontalDpi="0" verticalDpi="0" r:id="rId1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M192"/>
  <sheetViews>
    <sheetView topLeftCell="A178" zoomScaleNormal="100" workbookViewId="0">
      <selection activeCell="C188" sqref="C188"/>
    </sheetView>
  </sheetViews>
  <sheetFormatPr defaultColWidth="9.08984375" defaultRowHeight="14.5" x14ac:dyDescent="0.35"/>
  <cols>
    <col min="1" max="1" width="4.54296875" style="1" customWidth="1"/>
    <col min="2" max="2" width="56" style="1" customWidth="1"/>
    <col min="3" max="3" width="7.54296875" style="1" customWidth="1"/>
    <col min="4" max="4" width="11.08984375" style="76" customWidth="1"/>
    <col min="5" max="5" width="9.54296875" style="1" customWidth="1"/>
    <col min="6" max="6" width="13.08984375" style="1" customWidth="1"/>
    <col min="7" max="7" width="8.453125" style="1" customWidth="1"/>
    <col min="8" max="8" width="12.6328125" style="1" customWidth="1"/>
    <col min="9" max="9" width="8" style="1" customWidth="1"/>
    <col min="10" max="10" width="10.453125" style="1" customWidth="1"/>
    <col min="11" max="11" width="15.36328125" style="1" customWidth="1"/>
    <col min="12" max="16384" width="9.08984375" style="1"/>
  </cols>
  <sheetData>
    <row r="1" spans="1:13" ht="20.149999999999999" customHeight="1" x14ac:dyDescent="0.35">
      <c r="B1" s="368" t="s">
        <v>459</v>
      </c>
      <c r="C1" s="369"/>
      <c r="D1" s="369"/>
      <c r="E1" s="369"/>
      <c r="F1" s="369"/>
      <c r="G1" s="369"/>
      <c r="H1" s="369"/>
      <c r="I1" s="369"/>
      <c r="J1" s="369"/>
    </row>
    <row r="2" spans="1:13" ht="20.149999999999999" customHeight="1" x14ac:dyDescent="0.35">
      <c r="B2" s="336" t="s">
        <v>384</v>
      </c>
      <c r="C2" s="336"/>
      <c r="D2" s="336"/>
      <c r="E2" s="336"/>
      <c r="F2" s="336"/>
      <c r="G2" s="336"/>
      <c r="H2" s="336"/>
      <c r="I2" s="336"/>
      <c r="J2" s="336"/>
    </row>
    <row r="3" spans="1:13" ht="24.9" customHeight="1" x14ac:dyDescent="0.35">
      <c r="A3" s="385" t="s">
        <v>343</v>
      </c>
      <c r="B3" s="386"/>
      <c r="C3" s="386"/>
      <c r="D3" s="386"/>
      <c r="E3" s="386"/>
      <c r="F3" s="386"/>
      <c r="G3" s="386"/>
      <c r="H3" s="386"/>
      <c r="I3" s="386"/>
      <c r="J3" s="386"/>
      <c r="K3" s="387"/>
    </row>
    <row r="4" spans="1:13" ht="18" customHeight="1" x14ac:dyDescent="0.35">
      <c r="A4" s="30"/>
      <c r="B4" s="108"/>
      <c r="C4" s="108"/>
      <c r="D4" s="108"/>
      <c r="E4" s="380" t="s">
        <v>0</v>
      </c>
      <c r="F4" s="380"/>
      <c r="G4" s="380"/>
      <c r="H4" s="380"/>
      <c r="I4" s="374" t="e">
        <f>K192</f>
        <v>#VALUE!</v>
      </c>
      <c r="J4" s="375"/>
      <c r="K4" s="109" t="s">
        <v>1</v>
      </c>
    </row>
    <row r="5" spans="1:13" ht="28.5" customHeight="1" x14ac:dyDescent="0.35">
      <c r="A5" s="343" t="s">
        <v>2</v>
      </c>
      <c r="B5" s="343" t="s">
        <v>3</v>
      </c>
      <c r="C5" s="343" t="s">
        <v>4</v>
      </c>
      <c r="D5" s="345" t="s">
        <v>5</v>
      </c>
      <c r="E5" s="347" t="s">
        <v>6</v>
      </c>
      <c r="F5" s="348"/>
      <c r="G5" s="349" t="s">
        <v>7</v>
      </c>
      <c r="H5" s="350"/>
      <c r="I5" s="351" t="s">
        <v>8</v>
      </c>
      <c r="J5" s="352"/>
      <c r="K5" s="345" t="s">
        <v>9</v>
      </c>
    </row>
    <row r="6" spans="1:13" ht="35.25" customHeight="1" x14ac:dyDescent="0.35">
      <c r="A6" s="344"/>
      <c r="B6" s="344"/>
      <c r="C6" s="344"/>
      <c r="D6" s="346"/>
      <c r="E6" s="116" t="s">
        <v>10</v>
      </c>
      <c r="F6" s="140" t="s">
        <v>9</v>
      </c>
      <c r="G6" s="141" t="s">
        <v>10</v>
      </c>
      <c r="H6" s="140" t="s">
        <v>9</v>
      </c>
      <c r="I6" s="141" t="s">
        <v>10</v>
      </c>
      <c r="J6" s="140" t="s">
        <v>11</v>
      </c>
      <c r="K6" s="376"/>
    </row>
    <row r="7" spans="1:13" ht="16.5" customHeight="1" x14ac:dyDescent="0.35">
      <c r="A7" s="2">
        <v>1</v>
      </c>
      <c r="B7" s="2">
        <v>2</v>
      </c>
      <c r="C7" s="2">
        <v>3</v>
      </c>
      <c r="D7" s="3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4">
        <v>10</v>
      </c>
      <c r="K7" s="2">
        <v>11</v>
      </c>
    </row>
    <row r="8" spans="1:13" x14ac:dyDescent="0.35">
      <c r="A8" s="43"/>
      <c r="B8" s="44" t="s">
        <v>12</v>
      </c>
      <c r="C8" s="45"/>
      <c r="D8" s="46"/>
      <c r="E8" s="46"/>
      <c r="F8" s="46"/>
      <c r="G8" s="46"/>
      <c r="H8" s="46"/>
      <c r="I8" s="46"/>
      <c r="J8" s="261"/>
      <c r="K8" s="46"/>
    </row>
    <row r="9" spans="1:13" ht="40.5" x14ac:dyDescent="0.35">
      <c r="A9" s="11">
        <v>1</v>
      </c>
      <c r="B9" s="9" t="s">
        <v>389</v>
      </c>
      <c r="C9" s="2" t="s">
        <v>13</v>
      </c>
      <c r="D9" s="147">
        <f>1.1*2*32</f>
        <v>70.400000000000006</v>
      </c>
      <c r="E9" s="142"/>
      <c r="F9" s="142"/>
      <c r="G9" s="5"/>
      <c r="H9" s="142">
        <f>G9*D9</f>
        <v>0</v>
      </c>
      <c r="I9" s="142"/>
      <c r="J9" s="10">
        <f>I9*D9</f>
        <v>0</v>
      </c>
      <c r="K9" s="142">
        <f>J9+H9+F9</f>
        <v>0</v>
      </c>
    </row>
    <row r="10" spans="1:13" ht="40.5" x14ac:dyDescent="0.35">
      <c r="A10" s="11">
        <v>2</v>
      </c>
      <c r="B10" s="9" t="s">
        <v>228</v>
      </c>
      <c r="C10" s="2" t="s">
        <v>13</v>
      </c>
      <c r="D10" s="147">
        <f>1.45*2*6</f>
        <v>17.399999999999999</v>
      </c>
      <c r="E10" s="142"/>
      <c r="F10" s="142"/>
      <c r="G10" s="5"/>
      <c r="H10" s="142">
        <f t="shared" ref="H10:H87" si="0">G10*D10</f>
        <v>0</v>
      </c>
      <c r="I10" s="142"/>
      <c r="J10" s="10">
        <f t="shared" ref="J10:J87" si="1">I10*D10</f>
        <v>0</v>
      </c>
      <c r="K10" s="142">
        <f t="shared" ref="K10:K87" si="2">J10+H10+F10</f>
        <v>0</v>
      </c>
    </row>
    <row r="11" spans="1:13" ht="40.5" x14ac:dyDescent="0.35">
      <c r="A11" s="11">
        <v>3</v>
      </c>
      <c r="B11" s="9" t="s">
        <v>248</v>
      </c>
      <c r="C11" s="2" t="s">
        <v>13</v>
      </c>
      <c r="D11" s="147">
        <f>1.1*2*8</f>
        <v>17.600000000000001</v>
      </c>
      <c r="E11" s="142"/>
      <c r="F11" s="142"/>
      <c r="G11" s="5"/>
      <c r="H11" s="142">
        <f t="shared" si="0"/>
        <v>0</v>
      </c>
      <c r="I11" s="142"/>
      <c r="J11" s="10">
        <f t="shared" si="1"/>
        <v>0</v>
      </c>
      <c r="K11" s="142">
        <f t="shared" si="2"/>
        <v>0</v>
      </c>
    </row>
    <row r="12" spans="1:13" ht="40.5" x14ac:dyDescent="0.35">
      <c r="A12" s="11">
        <v>4</v>
      </c>
      <c r="B12" s="9" t="s">
        <v>249</v>
      </c>
      <c r="C12" s="2" t="s">
        <v>13</v>
      </c>
      <c r="D12" s="12">
        <f>1.45*2*1</f>
        <v>2.9</v>
      </c>
      <c r="E12" s="142"/>
      <c r="F12" s="142"/>
      <c r="G12" s="5"/>
      <c r="H12" s="142">
        <f t="shared" si="0"/>
        <v>0</v>
      </c>
      <c r="I12" s="142"/>
      <c r="J12" s="10">
        <f t="shared" si="1"/>
        <v>0</v>
      </c>
      <c r="K12" s="142">
        <f t="shared" si="2"/>
        <v>0</v>
      </c>
    </row>
    <row r="13" spans="1:13" ht="40.5" x14ac:dyDescent="0.35">
      <c r="A13" s="11">
        <v>5</v>
      </c>
      <c r="B13" s="84" t="s">
        <v>390</v>
      </c>
      <c r="C13" s="6" t="s">
        <v>13</v>
      </c>
      <c r="D13" s="147">
        <f>1.1*2.1*16</f>
        <v>36.960000000000008</v>
      </c>
      <c r="E13" s="142"/>
      <c r="F13" s="142"/>
      <c r="G13" s="5"/>
      <c r="H13" s="142">
        <f>G13*D13</f>
        <v>0</v>
      </c>
      <c r="I13" s="142"/>
      <c r="J13" s="10">
        <f>I13*D13</f>
        <v>0</v>
      </c>
      <c r="K13" s="142">
        <f>J13+H13+F13</f>
        <v>0</v>
      </c>
    </row>
    <row r="14" spans="1:13" ht="30" customHeight="1" x14ac:dyDescent="0.35">
      <c r="A14" s="11">
        <v>6</v>
      </c>
      <c r="B14" s="84" t="s">
        <v>391</v>
      </c>
      <c r="C14" s="6" t="s">
        <v>392</v>
      </c>
      <c r="D14" s="147">
        <v>0.8</v>
      </c>
      <c r="E14" s="142"/>
      <c r="F14" s="142"/>
      <c r="G14" s="5"/>
      <c r="H14" s="142">
        <f>G14*D14</f>
        <v>0</v>
      </c>
      <c r="I14" s="142"/>
      <c r="J14" s="10">
        <f>I14*D14</f>
        <v>0</v>
      </c>
      <c r="K14" s="142">
        <f>J14+H14+F14</f>
        <v>0</v>
      </c>
    </row>
    <row r="15" spans="1:13" ht="40.5" x14ac:dyDescent="0.35">
      <c r="A15" s="11">
        <v>7</v>
      </c>
      <c r="B15" s="84" t="s">
        <v>393</v>
      </c>
      <c r="C15" s="6" t="s">
        <v>392</v>
      </c>
      <c r="D15" s="147">
        <f>1.2*2.15*0.45*8</f>
        <v>9.2879999999999985</v>
      </c>
      <c r="E15" s="142"/>
      <c r="F15" s="142"/>
      <c r="G15" s="5"/>
      <c r="H15" s="142">
        <f>G15*D15</f>
        <v>0</v>
      </c>
      <c r="I15" s="142"/>
      <c r="J15" s="10">
        <f>I15*D15</f>
        <v>0</v>
      </c>
      <c r="K15" s="142">
        <f>J15+H15+F15</f>
        <v>0</v>
      </c>
    </row>
    <row r="16" spans="1:13" x14ac:dyDescent="0.35">
      <c r="A16" s="223">
        <v>8</v>
      </c>
      <c r="B16" s="185" t="s">
        <v>141</v>
      </c>
      <c r="C16" s="186" t="s">
        <v>13</v>
      </c>
      <c r="D16" s="187">
        <v>100</v>
      </c>
      <c r="E16" s="187"/>
      <c r="F16" s="187"/>
      <c r="G16" s="187"/>
      <c r="H16" s="187">
        <f t="shared" si="0"/>
        <v>0</v>
      </c>
      <c r="I16" s="187"/>
      <c r="J16" s="188">
        <f t="shared" si="1"/>
        <v>0</v>
      </c>
      <c r="K16" s="187">
        <f t="shared" si="2"/>
        <v>0</v>
      </c>
      <c r="L16" s="187"/>
      <c r="M16" s="202"/>
    </row>
    <row r="17" spans="1:13" ht="27" x14ac:dyDescent="0.35">
      <c r="A17" s="11">
        <v>9</v>
      </c>
      <c r="B17" s="14" t="s">
        <v>394</v>
      </c>
      <c r="C17" s="2" t="s">
        <v>13</v>
      </c>
      <c r="D17" s="7">
        <v>123</v>
      </c>
      <c r="E17" s="7"/>
      <c r="F17" s="7"/>
      <c r="G17" s="7"/>
      <c r="H17" s="142">
        <f t="shared" si="0"/>
        <v>0</v>
      </c>
      <c r="I17" s="7"/>
      <c r="J17" s="10">
        <f t="shared" si="1"/>
        <v>0</v>
      </c>
      <c r="K17" s="142">
        <f t="shared" si="2"/>
        <v>0</v>
      </c>
    </row>
    <row r="18" spans="1:13" x14ac:dyDescent="0.35">
      <c r="A18" s="11">
        <v>10</v>
      </c>
      <c r="B18" s="9" t="s">
        <v>75</v>
      </c>
      <c r="C18" s="2" t="s">
        <v>174</v>
      </c>
      <c r="D18" s="7">
        <v>110</v>
      </c>
      <c r="E18" s="7"/>
      <c r="F18" s="7"/>
      <c r="G18" s="7"/>
      <c r="H18" s="142">
        <f t="shared" si="0"/>
        <v>0</v>
      </c>
      <c r="I18" s="7"/>
      <c r="J18" s="10">
        <f t="shared" si="1"/>
        <v>0</v>
      </c>
      <c r="K18" s="142">
        <f t="shared" si="2"/>
        <v>0</v>
      </c>
    </row>
    <row r="19" spans="1:13" x14ac:dyDescent="0.35">
      <c r="A19" s="11">
        <v>11</v>
      </c>
      <c r="B19" s="9" t="s">
        <v>76</v>
      </c>
      <c r="C19" s="2" t="s">
        <v>174</v>
      </c>
      <c r="D19" s="7">
        <v>63</v>
      </c>
      <c r="E19" s="7"/>
      <c r="F19" s="7"/>
      <c r="G19" s="7"/>
      <c r="H19" s="142">
        <f t="shared" si="0"/>
        <v>0</v>
      </c>
      <c r="I19" s="7"/>
      <c r="J19" s="10">
        <f t="shared" si="1"/>
        <v>0</v>
      </c>
      <c r="K19" s="142">
        <f t="shared" si="2"/>
        <v>0</v>
      </c>
    </row>
    <row r="20" spans="1:13" x14ac:dyDescent="0.35">
      <c r="A20" s="11">
        <v>12</v>
      </c>
      <c r="B20" s="84" t="s">
        <v>177</v>
      </c>
      <c r="C20" s="6" t="s">
        <v>20</v>
      </c>
      <c r="D20" s="5">
        <v>1</v>
      </c>
      <c r="E20" s="7"/>
      <c r="F20" s="7"/>
      <c r="G20" s="7"/>
      <c r="H20" s="142">
        <f t="shared" si="0"/>
        <v>0</v>
      </c>
      <c r="I20" s="7"/>
      <c r="J20" s="10">
        <f t="shared" si="1"/>
        <v>0</v>
      </c>
      <c r="K20" s="142">
        <f t="shared" si="2"/>
        <v>0</v>
      </c>
    </row>
    <row r="21" spans="1:13" x14ac:dyDescent="0.35">
      <c r="A21" s="11">
        <v>13</v>
      </c>
      <c r="B21" s="13" t="s">
        <v>19</v>
      </c>
      <c r="C21" s="2" t="s">
        <v>20</v>
      </c>
      <c r="D21" s="5">
        <v>34</v>
      </c>
      <c r="E21" s="7"/>
      <c r="F21" s="7"/>
      <c r="G21" s="7"/>
      <c r="H21" s="142">
        <f t="shared" si="0"/>
        <v>0</v>
      </c>
      <c r="I21" s="7"/>
      <c r="J21" s="10">
        <f t="shared" si="1"/>
        <v>0</v>
      </c>
      <c r="K21" s="142">
        <f t="shared" si="2"/>
        <v>0</v>
      </c>
    </row>
    <row r="22" spans="1:13" x14ac:dyDescent="0.35">
      <c r="A22" s="11">
        <v>14</v>
      </c>
      <c r="B22" s="13" t="s">
        <v>92</v>
      </c>
      <c r="C22" s="2" t="s">
        <v>20</v>
      </c>
      <c r="D22" s="5">
        <v>12</v>
      </c>
      <c r="E22" s="7"/>
      <c r="F22" s="7"/>
      <c r="G22" s="7"/>
      <c r="H22" s="142">
        <f t="shared" si="0"/>
        <v>0</v>
      </c>
      <c r="I22" s="7"/>
      <c r="J22" s="10">
        <f t="shared" si="1"/>
        <v>0</v>
      </c>
      <c r="K22" s="142">
        <f t="shared" si="2"/>
        <v>0</v>
      </c>
    </row>
    <row r="23" spans="1:13" x14ac:dyDescent="0.35">
      <c r="A23" s="11">
        <v>15</v>
      </c>
      <c r="B23" s="13" t="s">
        <v>178</v>
      </c>
      <c r="C23" s="2" t="s">
        <v>20</v>
      </c>
      <c r="D23" s="5">
        <v>9</v>
      </c>
      <c r="E23" s="7"/>
      <c r="F23" s="7"/>
      <c r="G23" s="7"/>
      <c r="H23" s="142">
        <f t="shared" si="0"/>
        <v>0</v>
      </c>
      <c r="I23" s="7"/>
      <c r="J23" s="10">
        <f t="shared" si="1"/>
        <v>0</v>
      </c>
      <c r="K23" s="142">
        <f t="shared" si="2"/>
        <v>0</v>
      </c>
    </row>
    <row r="24" spans="1:13" x14ac:dyDescent="0.35">
      <c r="A24" s="11">
        <v>16</v>
      </c>
      <c r="B24" s="13" t="s">
        <v>250</v>
      </c>
      <c r="C24" s="2" t="s">
        <v>20</v>
      </c>
      <c r="D24" s="5">
        <v>22</v>
      </c>
      <c r="E24" s="7"/>
      <c r="F24" s="7"/>
      <c r="G24" s="7"/>
      <c r="H24" s="142">
        <f t="shared" si="0"/>
        <v>0</v>
      </c>
      <c r="I24" s="7"/>
      <c r="J24" s="10">
        <f t="shared" si="1"/>
        <v>0</v>
      </c>
      <c r="K24" s="142">
        <f t="shared" si="2"/>
        <v>0</v>
      </c>
    </row>
    <row r="25" spans="1:13" ht="27" x14ac:dyDescent="0.35">
      <c r="A25" s="11">
        <v>17</v>
      </c>
      <c r="B25" s="23" t="s">
        <v>251</v>
      </c>
      <c r="C25" s="6" t="s">
        <v>20</v>
      </c>
      <c r="D25" s="5">
        <v>49</v>
      </c>
      <c r="E25" s="7"/>
      <c r="F25" s="7"/>
      <c r="G25" s="7"/>
      <c r="H25" s="5">
        <f t="shared" si="0"/>
        <v>0</v>
      </c>
      <c r="I25" s="7"/>
      <c r="J25" s="127">
        <f t="shared" si="1"/>
        <v>0</v>
      </c>
      <c r="K25" s="5">
        <f t="shared" si="2"/>
        <v>0</v>
      </c>
    </row>
    <row r="26" spans="1:13" ht="27" x14ac:dyDescent="0.35">
      <c r="A26" s="11">
        <v>18</v>
      </c>
      <c r="B26" s="23" t="s">
        <v>252</v>
      </c>
      <c r="C26" s="6" t="s">
        <v>22</v>
      </c>
      <c r="D26" s="5">
        <v>340</v>
      </c>
      <c r="E26" s="7"/>
      <c r="F26" s="7"/>
      <c r="G26" s="7"/>
      <c r="H26" s="5">
        <f t="shared" si="0"/>
        <v>0</v>
      </c>
      <c r="I26" s="7"/>
      <c r="J26" s="127">
        <f t="shared" si="1"/>
        <v>0</v>
      </c>
      <c r="K26" s="5">
        <f t="shared" si="2"/>
        <v>0</v>
      </c>
    </row>
    <row r="27" spans="1:13" ht="40.5" x14ac:dyDescent="0.35">
      <c r="A27" s="11">
        <v>19</v>
      </c>
      <c r="B27" s="222" t="s">
        <v>474</v>
      </c>
      <c r="C27" s="2" t="s">
        <v>13</v>
      </c>
      <c r="D27" s="139">
        <v>344.4</v>
      </c>
      <c r="E27" s="139"/>
      <c r="F27" s="139"/>
      <c r="G27" s="139"/>
      <c r="H27" s="142">
        <f t="shared" si="0"/>
        <v>0</v>
      </c>
      <c r="I27" s="139"/>
      <c r="J27" s="10">
        <f t="shared" si="1"/>
        <v>0</v>
      </c>
      <c r="K27" s="142">
        <f t="shared" si="2"/>
        <v>0</v>
      </c>
    </row>
    <row r="28" spans="1:13" x14ac:dyDescent="0.35">
      <c r="A28" s="11">
        <v>20</v>
      </c>
      <c r="B28" s="14" t="s">
        <v>253</v>
      </c>
      <c r="C28" s="2" t="s">
        <v>13</v>
      </c>
      <c r="D28" s="7">
        <v>123</v>
      </c>
      <c r="E28" s="7"/>
      <c r="F28" s="7"/>
      <c r="G28" s="7"/>
      <c r="H28" s="142">
        <f t="shared" si="0"/>
        <v>0</v>
      </c>
      <c r="I28" s="7"/>
      <c r="J28" s="10">
        <f t="shared" si="1"/>
        <v>0</v>
      </c>
      <c r="K28" s="142">
        <f t="shared" si="2"/>
        <v>0</v>
      </c>
    </row>
    <row r="29" spans="1:13" ht="27" x14ac:dyDescent="0.35">
      <c r="A29" s="11">
        <v>21</v>
      </c>
      <c r="B29" s="216" t="s">
        <v>254</v>
      </c>
      <c r="C29" s="210" t="s">
        <v>13</v>
      </c>
      <c r="D29" s="197">
        <v>362</v>
      </c>
      <c r="E29" s="7"/>
      <c r="F29" s="7"/>
      <c r="G29" s="7"/>
      <c r="H29" s="142">
        <f t="shared" si="0"/>
        <v>0</v>
      </c>
      <c r="I29" s="7"/>
      <c r="J29" s="10">
        <f t="shared" si="1"/>
        <v>0</v>
      </c>
      <c r="K29" s="142">
        <f t="shared" si="2"/>
        <v>0</v>
      </c>
      <c r="L29" s="324"/>
      <c r="M29" s="317"/>
    </row>
    <row r="30" spans="1:13" ht="27" x14ac:dyDescent="0.35">
      <c r="A30" s="11">
        <v>22</v>
      </c>
      <c r="B30" s="14" t="s">
        <v>475</v>
      </c>
      <c r="C30" s="15" t="s">
        <v>24</v>
      </c>
      <c r="D30" s="7">
        <v>362</v>
      </c>
      <c r="E30" s="7"/>
      <c r="F30" s="7"/>
      <c r="G30" s="7"/>
      <c r="H30" s="142">
        <f t="shared" si="0"/>
        <v>0</v>
      </c>
      <c r="I30" s="7"/>
      <c r="J30" s="10">
        <f t="shared" si="1"/>
        <v>0</v>
      </c>
      <c r="K30" s="10">
        <f t="shared" si="2"/>
        <v>0</v>
      </c>
      <c r="L30" s="326"/>
    </row>
    <row r="31" spans="1:13" ht="40.5" x14ac:dyDescent="0.35">
      <c r="A31" s="11">
        <v>23</v>
      </c>
      <c r="B31" s="13" t="s">
        <v>476</v>
      </c>
      <c r="C31" s="2" t="s">
        <v>13</v>
      </c>
      <c r="D31" s="7">
        <v>100</v>
      </c>
      <c r="E31" s="7"/>
      <c r="F31" s="7"/>
      <c r="G31" s="7"/>
      <c r="H31" s="142">
        <f t="shared" si="0"/>
        <v>0</v>
      </c>
      <c r="I31" s="7"/>
      <c r="J31" s="10">
        <f t="shared" si="1"/>
        <v>0</v>
      </c>
      <c r="K31" s="142">
        <f t="shared" si="2"/>
        <v>0</v>
      </c>
    </row>
    <row r="32" spans="1:13" ht="27" x14ac:dyDescent="0.35">
      <c r="A32" s="11">
        <v>24</v>
      </c>
      <c r="B32" s="14" t="s">
        <v>256</v>
      </c>
      <c r="C32" s="2" t="s">
        <v>22</v>
      </c>
      <c r="D32" s="7">
        <v>90</v>
      </c>
      <c r="E32" s="7"/>
      <c r="F32" s="7"/>
      <c r="G32" s="7"/>
      <c r="H32" s="142">
        <f t="shared" si="0"/>
        <v>0</v>
      </c>
      <c r="I32" s="7"/>
      <c r="J32" s="10">
        <f t="shared" si="1"/>
        <v>0</v>
      </c>
      <c r="K32" s="142">
        <f t="shared" si="2"/>
        <v>0</v>
      </c>
    </row>
    <row r="33" spans="1:13" ht="27" x14ac:dyDescent="0.35">
      <c r="A33" s="11">
        <v>25</v>
      </c>
      <c r="B33" s="14" t="s">
        <v>26</v>
      </c>
      <c r="C33" s="15" t="s">
        <v>22</v>
      </c>
      <c r="D33" s="7">
        <v>164</v>
      </c>
      <c r="E33" s="7"/>
      <c r="F33" s="7"/>
      <c r="G33" s="7"/>
      <c r="H33" s="142">
        <f t="shared" si="0"/>
        <v>0</v>
      </c>
      <c r="I33" s="7"/>
      <c r="J33" s="10">
        <f t="shared" si="1"/>
        <v>0</v>
      </c>
      <c r="K33" s="142">
        <f t="shared" si="2"/>
        <v>0</v>
      </c>
    </row>
    <row r="34" spans="1:13" ht="28" x14ac:dyDescent="0.35">
      <c r="A34" s="11">
        <v>26</v>
      </c>
      <c r="B34" s="16" t="s">
        <v>257</v>
      </c>
      <c r="C34" s="2" t="s">
        <v>29</v>
      </c>
      <c r="D34" s="7">
        <v>117</v>
      </c>
      <c r="E34" s="7"/>
      <c r="F34" s="7"/>
      <c r="G34" s="7"/>
      <c r="H34" s="142">
        <f t="shared" si="0"/>
        <v>0</v>
      </c>
      <c r="I34" s="7"/>
      <c r="J34" s="10">
        <f t="shared" si="1"/>
        <v>0</v>
      </c>
      <c r="K34" s="142">
        <f t="shared" si="2"/>
        <v>0</v>
      </c>
    </row>
    <row r="35" spans="1:13" x14ac:dyDescent="0.35">
      <c r="A35" s="11">
        <v>27</v>
      </c>
      <c r="B35" s="16" t="s">
        <v>31</v>
      </c>
      <c r="C35" s="2" t="s">
        <v>32</v>
      </c>
      <c r="D35" s="7">
        <f>D34*1.8</f>
        <v>210.6</v>
      </c>
      <c r="E35" s="7"/>
      <c r="F35" s="7"/>
      <c r="G35" s="7"/>
      <c r="H35" s="142">
        <f t="shared" si="0"/>
        <v>0</v>
      </c>
      <c r="I35" s="7"/>
      <c r="J35" s="10">
        <f t="shared" si="1"/>
        <v>0</v>
      </c>
      <c r="K35" s="142">
        <f t="shared" si="2"/>
        <v>0</v>
      </c>
    </row>
    <row r="36" spans="1:13" x14ac:dyDescent="0.35">
      <c r="A36" s="308"/>
      <c r="B36" s="309" t="s">
        <v>170</v>
      </c>
      <c r="C36" s="310"/>
      <c r="D36" s="289"/>
      <c r="E36" s="289"/>
      <c r="F36" s="289"/>
      <c r="G36" s="289"/>
      <c r="H36" s="279">
        <f t="shared" si="0"/>
        <v>0</v>
      </c>
      <c r="I36" s="289"/>
      <c r="J36" s="295">
        <f t="shared" si="1"/>
        <v>0</v>
      </c>
      <c r="K36" s="279">
        <f t="shared" si="2"/>
        <v>0</v>
      </c>
    </row>
    <row r="37" spans="1:13" x14ac:dyDescent="0.35">
      <c r="A37" s="308"/>
      <c r="B37" s="309" t="s">
        <v>97</v>
      </c>
      <c r="C37" s="310"/>
      <c r="D37" s="289"/>
      <c r="E37" s="289"/>
      <c r="F37" s="289"/>
      <c r="G37" s="289"/>
      <c r="H37" s="279">
        <f t="shared" si="0"/>
        <v>0</v>
      </c>
      <c r="I37" s="289"/>
      <c r="J37" s="295">
        <f t="shared" si="1"/>
        <v>0</v>
      </c>
      <c r="K37" s="279">
        <f t="shared" si="2"/>
        <v>0</v>
      </c>
    </row>
    <row r="38" spans="1:13" ht="27" x14ac:dyDescent="0.35">
      <c r="A38" s="358">
        <v>1</v>
      </c>
      <c r="B38" s="327" t="s">
        <v>98</v>
      </c>
      <c r="C38" s="18" t="s">
        <v>13</v>
      </c>
      <c r="D38" s="148">
        <v>130</v>
      </c>
      <c r="E38" s="68"/>
      <c r="F38" s="5"/>
      <c r="G38" s="5"/>
      <c r="H38" s="142">
        <f t="shared" si="0"/>
        <v>0</v>
      </c>
      <c r="I38" s="5"/>
      <c r="J38" s="10">
        <f t="shared" si="1"/>
        <v>0</v>
      </c>
      <c r="K38" s="142">
        <f t="shared" si="2"/>
        <v>0</v>
      </c>
    </row>
    <row r="39" spans="1:13" x14ac:dyDescent="0.35">
      <c r="A39" s="359"/>
      <c r="B39" s="69" t="s">
        <v>258</v>
      </c>
      <c r="C39" s="2" t="s">
        <v>29</v>
      </c>
      <c r="D39" s="5">
        <f>0.062*D38</f>
        <v>8.06</v>
      </c>
      <c r="E39" s="5"/>
      <c r="F39" s="5">
        <f>E39*D39</f>
        <v>0</v>
      </c>
      <c r="G39" s="5"/>
      <c r="H39" s="142">
        <f t="shared" si="0"/>
        <v>0</v>
      </c>
      <c r="I39" s="5"/>
      <c r="J39" s="10">
        <f t="shared" si="1"/>
        <v>0</v>
      </c>
      <c r="K39" s="142">
        <f t="shared" si="2"/>
        <v>0</v>
      </c>
    </row>
    <row r="40" spans="1:13" x14ac:dyDescent="0.35">
      <c r="A40" s="359"/>
      <c r="B40" s="69" t="s">
        <v>259</v>
      </c>
      <c r="C40" s="2" t="s">
        <v>32</v>
      </c>
      <c r="D40" s="5">
        <f>0.0155*D38</f>
        <v>2.0150000000000001</v>
      </c>
      <c r="E40" s="5"/>
      <c r="F40" s="5">
        <f t="shared" ref="F40:F114" si="3">E40*D40</f>
        <v>0</v>
      </c>
      <c r="G40" s="5"/>
      <c r="H40" s="142">
        <f t="shared" si="0"/>
        <v>0</v>
      </c>
      <c r="I40" s="5"/>
      <c r="J40" s="10">
        <f t="shared" si="1"/>
        <v>0</v>
      </c>
      <c r="K40" s="142">
        <f t="shared" si="2"/>
        <v>0</v>
      </c>
    </row>
    <row r="41" spans="1:13" x14ac:dyDescent="0.35">
      <c r="A41" s="360"/>
      <c r="B41" s="13" t="s">
        <v>38</v>
      </c>
      <c r="C41" s="2" t="s">
        <v>1</v>
      </c>
      <c r="D41" s="5">
        <f>D38*0.03</f>
        <v>3.9</v>
      </c>
      <c r="E41" s="5"/>
      <c r="F41" s="5">
        <f t="shared" si="3"/>
        <v>0</v>
      </c>
      <c r="G41" s="5"/>
      <c r="H41" s="142">
        <f t="shared" si="0"/>
        <v>0</v>
      </c>
      <c r="I41" s="5"/>
      <c r="J41" s="10">
        <f t="shared" si="1"/>
        <v>0</v>
      </c>
      <c r="K41" s="142">
        <f t="shared" si="2"/>
        <v>0</v>
      </c>
    </row>
    <row r="42" spans="1:13" ht="27" x14ac:dyDescent="0.35">
      <c r="A42" s="388">
        <v>2</v>
      </c>
      <c r="B42" s="328" t="s">
        <v>99</v>
      </c>
      <c r="C42" s="217" t="s">
        <v>13</v>
      </c>
      <c r="D42" s="148">
        <v>0</v>
      </c>
      <c r="E42" s="68"/>
      <c r="F42" s="5">
        <f t="shared" si="3"/>
        <v>0</v>
      </c>
      <c r="G42" s="5"/>
      <c r="H42" s="142">
        <f t="shared" si="0"/>
        <v>0</v>
      </c>
      <c r="I42" s="5"/>
      <c r="J42" s="10">
        <f t="shared" si="1"/>
        <v>0</v>
      </c>
      <c r="K42" s="142">
        <f t="shared" si="2"/>
        <v>0</v>
      </c>
      <c r="L42" s="148"/>
      <c r="M42" s="202"/>
    </row>
    <row r="43" spans="1:13" x14ac:dyDescent="0.35">
      <c r="A43" s="359"/>
      <c r="B43" s="25" t="s">
        <v>395</v>
      </c>
      <c r="C43" s="2" t="s">
        <v>40</v>
      </c>
      <c r="D43" s="5">
        <f>5*D42</f>
        <v>0</v>
      </c>
      <c r="E43" s="5"/>
      <c r="F43" s="5">
        <f t="shared" si="3"/>
        <v>0</v>
      </c>
      <c r="G43" s="5"/>
      <c r="H43" s="142">
        <f t="shared" si="0"/>
        <v>0</v>
      </c>
      <c r="I43" s="5"/>
      <c r="J43" s="10">
        <f t="shared" si="1"/>
        <v>0</v>
      </c>
      <c r="K43" s="142">
        <f t="shared" si="2"/>
        <v>0</v>
      </c>
    </row>
    <row r="44" spans="1:13" x14ac:dyDescent="0.35">
      <c r="A44" s="360"/>
      <c r="B44" s="13" t="s">
        <v>38</v>
      </c>
      <c r="C44" s="2" t="s">
        <v>1</v>
      </c>
      <c r="D44" s="5">
        <f>D42*0.015</f>
        <v>0</v>
      </c>
      <c r="E44" s="5"/>
      <c r="F44" s="5">
        <f t="shared" si="3"/>
        <v>0</v>
      </c>
      <c r="G44" s="5"/>
      <c r="H44" s="142">
        <f t="shared" si="0"/>
        <v>0</v>
      </c>
      <c r="I44" s="5"/>
      <c r="J44" s="10">
        <f t="shared" si="1"/>
        <v>0</v>
      </c>
      <c r="K44" s="142">
        <f t="shared" si="2"/>
        <v>0</v>
      </c>
    </row>
    <row r="45" spans="1:13" ht="27" x14ac:dyDescent="0.35">
      <c r="A45" s="388">
        <v>3</v>
      </c>
      <c r="B45" s="330" t="s">
        <v>477</v>
      </c>
      <c r="C45" s="217" t="s">
        <v>13</v>
      </c>
      <c r="D45" s="218">
        <v>362</v>
      </c>
      <c r="E45" s="331"/>
      <c r="F45" s="213">
        <f t="shared" si="3"/>
        <v>0</v>
      </c>
      <c r="G45" s="213"/>
      <c r="H45" s="213">
        <f t="shared" si="0"/>
        <v>0</v>
      </c>
      <c r="I45" s="213"/>
      <c r="J45" s="214">
        <f t="shared" si="1"/>
        <v>0</v>
      </c>
      <c r="K45" s="213">
        <f t="shared" si="2"/>
        <v>0</v>
      </c>
    </row>
    <row r="46" spans="1:13" x14ac:dyDescent="0.35">
      <c r="A46" s="359"/>
      <c r="B46" s="332" t="s">
        <v>478</v>
      </c>
      <c r="C46" s="210" t="s">
        <v>13</v>
      </c>
      <c r="D46" s="213">
        <f>1.02*D45</f>
        <v>369.24</v>
      </c>
      <c r="E46" s="213"/>
      <c r="F46" s="213">
        <f t="shared" si="3"/>
        <v>0</v>
      </c>
      <c r="G46" s="213"/>
      <c r="H46" s="213">
        <f t="shared" si="0"/>
        <v>0</v>
      </c>
      <c r="I46" s="213"/>
      <c r="J46" s="214">
        <f t="shared" si="1"/>
        <v>0</v>
      </c>
      <c r="K46" s="213">
        <f t="shared" si="2"/>
        <v>0</v>
      </c>
    </row>
    <row r="47" spans="1:13" x14ac:dyDescent="0.35">
      <c r="A47" s="359"/>
      <c r="B47" s="215" t="s">
        <v>479</v>
      </c>
      <c r="C47" s="210" t="s">
        <v>40</v>
      </c>
      <c r="D47" s="213">
        <v>2353</v>
      </c>
      <c r="E47" s="213"/>
      <c r="F47" s="213">
        <f t="shared" si="3"/>
        <v>0</v>
      </c>
      <c r="G47" s="213"/>
      <c r="H47" s="213">
        <f t="shared" si="0"/>
        <v>0</v>
      </c>
      <c r="I47" s="213"/>
      <c r="J47" s="214">
        <f t="shared" si="1"/>
        <v>0</v>
      </c>
      <c r="K47" s="213">
        <f t="shared" si="2"/>
        <v>0</v>
      </c>
    </row>
    <row r="48" spans="1:13" x14ac:dyDescent="0.35">
      <c r="A48" s="359"/>
      <c r="B48" s="215" t="s">
        <v>480</v>
      </c>
      <c r="C48" s="210" t="s">
        <v>40</v>
      </c>
      <c r="D48" s="213">
        <f>0.3*D45</f>
        <v>108.6</v>
      </c>
      <c r="E48" s="213"/>
      <c r="F48" s="213">
        <f t="shared" si="3"/>
        <v>0</v>
      </c>
      <c r="G48" s="213"/>
      <c r="H48" s="213">
        <f t="shared" si="0"/>
        <v>0</v>
      </c>
      <c r="I48" s="213"/>
      <c r="J48" s="214">
        <f t="shared" si="1"/>
        <v>0</v>
      </c>
      <c r="K48" s="213">
        <f t="shared" si="2"/>
        <v>0</v>
      </c>
    </row>
    <row r="49" spans="1:11" x14ac:dyDescent="0.35">
      <c r="A49" s="360"/>
      <c r="B49" s="13" t="s">
        <v>38</v>
      </c>
      <c r="C49" s="6" t="s">
        <v>1</v>
      </c>
      <c r="D49" s="5">
        <f>D45*0.02</f>
        <v>7.24</v>
      </c>
      <c r="E49" s="5"/>
      <c r="F49" s="5">
        <f t="shared" si="3"/>
        <v>0</v>
      </c>
      <c r="G49" s="5"/>
      <c r="H49" s="142">
        <f t="shared" si="0"/>
        <v>0</v>
      </c>
      <c r="I49" s="5"/>
      <c r="J49" s="10">
        <f t="shared" si="1"/>
        <v>0</v>
      </c>
      <c r="K49" s="142">
        <f t="shared" si="2"/>
        <v>0</v>
      </c>
    </row>
    <row r="50" spans="1:11" ht="40.5" x14ac:dyDescent="0.35">
      <c r="A50" s="2">
        <v>4</v>
      </c>
      <c r="B50" s="17" t="s">
        <v>396</v>
      </c>
      <c r="C50" s="18" t="s">
        <v>13</v>
      </c>
      <c r="D50" s="148">
        <f>2.88*14+3*2+D28</f>
        <v>169.32</v>
      </c>
      <c r="E50" s="68"/>
      <c r="F50" s="5">
        <f t="shared" si="3"/>
        <v>0</v>
      </c>
      <c r="G50" s="5"/>
      <c r="H50" s="142">
        <f t="shared" si="0"/>
        <v>0</v>
      </c>
      <c r="I50" s="5"/>
      <c r="J50" s="10">
        <f t="shared" si="1"/>
        <v>0</v>
      </c>
      <c r="K50" s="142">
        <f t="shared" si="2"/>
        <v>0</v>
      </c>
    </row>
    <row r="51" spans="1:11" ht="40.5" x14ac:dyDescent="0.35">
      <c r="A51" s="384">
        <v>5</v>
      </c>
      <c r="B51" s="17" t="s">
        <v>397</v>
      </c>
      <c r="C51" s="18" t="s">
        <v>13</v>
      </c>
      <c r="D51" s="148">
        <f>D50</f>
        <v>169.32</v>
      </c>
      <c r="E51" s="68"/>
      <c r="F51" s="5">
        <f t="shared" si="3"/>
        <v>0</v>
      </c>
      <c r="G51" s="5"/>
      <c r="H51" s="142">
        <f t="shared" si="0"/>
        <v>0</v>
      </c>
      <c r="I51" s="5"/>
      <c r="J51" s="10">
        <f t="shared" si="1"/>
        <v>0</v>
      </c>
      <c r="K51" s="142">
        <f t="shared" si="2"/>
        <v>0</v>
      </c>
    </row>
    <row r="52" spans="1:11" x14ac:dyDescent="0.35">
      <c r="A52" s="354"/>
      <c r="B52" s="13" t="s">
        <v>398</v>
      </c>
      <c r="C52" s="2" t="s">
        <v>13</v>
      </c>
      <c r="D52" s="5">
        <f>1.05*D51</f>
        <v>177.786</v>
      </c>
      <c r="E52" s="5"/>
      <c r="F52" s="5">
        <f t="shared" si="3"/>
        <v>0</v>
      </c>
      <c r="G52" s="5"/>
      <c r="H52" s="142">
        <f t="shared" si="0"/>
        <v>0</v>
      </c>
      <c r="I52" s="5"/>
      <c r="J52" s="10">
        <f t="shared" si="1"/>
        <v>0</v>
      </c>
      <c r="K52" s="142">
        <f t="shared" si="2"/>
        <v>0</v>
      </c>
    </row>
    <row r="53" spans="1:11" x14ac:dyDescent="0.35">
      <c r="A53" s="354"/>
      <c r="B53" s="13" t="s">
        <v>399</v>
      </c>
      <c r="C53" s="2" t="s">
        <v>40</v>
      </c>
      <c r="D53" s="5">
        <f>6*D51</f>
        <v>1015.92</v>
      </c>
      <c r="E53" s="5"/>
      <c r="F53" s="5">
        <f t="shared" si="3"/>
        <v>0</v>
      </c>
      <c r="G53" s="5"/>
      <c r="H53" s="142">
        <f t="shared" si="0"/>
        <v>0</v>
      </c>
      <c r="I53" s="5"/>
      <c r="J53" s="10">
        <f t="shared" si="1"/>
        <v>0</v>
      </c>
      <c r="K53" s="142">
        <f t="shared" si="2"/>
        <v>0</v>
      </c>
    </row>
    <row r="54" spans="1:11" x14ac:dyDescent="0.35">
      <c r="A54" s="354"/>
      <c r="B54" s="13" t="s">
        <v>400</v>
      </c>
      <c r="C54" s="2" t="s">
        <v>40</v>
      </c>
      <c r="D54" s="5">
        <f>0.04*D51</f>
        <v>6.7728000000000002</v>
      </c>
      <c r="E54" s="5"/>
      <c r="F54" s="5">
        <f t="shared" si="3"/>
        <v>0</v>
      </c>
      <c r="G54" s="5"/>
      <c r="H54" s="142">
        <f t="shared" si="0"/>
        <v>0</v>
      </c>
      <c r="I54" s="5"/>
      <c r="J54" s="10">
        <f t="shared" si="1"/>
        <v>0</v>
      </c>
      <c r="K54" s="142">
        <f t="shared" si="2"/>
        <v>0</v>
      </c>
    </row>
    <row r="55" spans="1:11" x14ac:dyDescent="0.35">
      <c r="A55" s="355"/>
      <c r="B55" s="13" t="s">
        <v>38</v>
      </c>
      <c r="C55" s="2" t="s">
        <v>1</v>
      </c>
      <c r="D55" s="5">
        <f>(D51)*0.3</f>
        <v>50.795999999999999</v>
      </c>
      <c r="E55" s="5"/>
      <c r="F55" s="5">
        <f t="shared" si="3"/>
        <v>0</v>
      </c>
      <c r="G55" s="5"/>
      <c r="H55" s="142">
        <f t="shared" si="0"/>
        <v>0</v>
      </c>
      <c r="I55" s="5"/>
      <c r="J55" s="10">
        <f t="shared" si="1"/>
        <v>0</v>
      </c>
      <c r="K55" s="142">
        <f t="shared" si="2"/>
        <v>0</v>
      </c>
    </row>
    <row r="56" spans="1:11" x14ac:dyDescent="0.35">
      <c r="A56" s="302"/>
      <c r="B56" s="298" t="s">
        <v>111</v>
      </c>
      <c r="C56" s="278"/>
      <c r="D56" s="279"/>
      <c r="E56" s="279"/>
      <c r="F56" s="279">
        <f t="shared" si="3"/>
        <v>0</v>
      </c>
      <c r="G56" s="279"/>
      <c r="H56" s="279">
        <f t="shared" si="0"/>
        <v>0</v>
      </c>
      <c r="I56" s="279"/>
      <c r="J56" s="295">
        <f t="shared" si="1"/>
        <v>0</v>
      </c>
      <c r="K56" s="279">
        <f t="shared" si="2"/>
        <v>0</v>
      </c>
    </row>
    <row r="57" spans="1:11" ht="40.5" x14ac:dyDescent="0.35">
      <c r="A57" s="389" t="s">
        <v>78</v>
      </c>
      <c r="B57" s="149" t="s">
        <v>401</v>
      </c>
      <c r="C57" s="6" t="s">
        <v>402</v>
      </c>
      <c r="D57" s="150">
        <f>1.2*2.15*7</f>
        <v>18.059999999999999</v>
      </c>
      <c r="E57" s="5"/>
      <c r="F57" s="5"/>
      <c r="G57" s="5"/>
      <c r="H57" s="5">
        <f>G57*D57</f>
        <v>0</v>
      </c>
      <c r="I57" s="5"/>
      <c r="J57" s="127">
        <f>I57*D57</f>
        <v>0</v>
      </c>
      <c r="K57" s="142">
        <f>J57+H57+F57</f>
        <v>0</v>
      </c>
    </row>
    <row r="58" spans="1:11" ht="27" x14ac:dyDescent="0.35">
      <c r="A58" s="390"/>
      <c r="B58" s="149" t="s">
        <v>403</v>
      </c>
      <c r="C58" s="6" t="s">
        <v>402</v>
      </c>
      <c r="D58" s="150">
        <v>18</v>
      </c>
      <c r="E58" s="142"/>
      <c r="F58" s="142"/>
      <c r="G58" s="5"/>
      <c r="H58" s="142">
        <f>G58*D58</f>
        <v>0</v>
      </c>
      <c r="I58" s="142"/>
      <c r="J58" s="10">
        <f>I58*D58</f>
        <v>0</v>
      </c>
      <c r="K58" s="142">
        <f>J58+H58+F58</f>
        <v>0</v>
      </c>
    </row>
    <row r="59" spans="1:11" x14ac:dyDescent="0.35">
      <c r="A59" s="390"/>
      <c r="B59" s="151" t="s">
        <v>404</v>
      </c>
      <c r="C59" s="6" t="s">
        <v>13</v>
      </c>
      <c r="D59" s="5">
        <v>30</v>
      </c>
      <c r="E59" s="5"/>
      <c r="F59" s="5">
        <f t="shared" ref="F59:F62" si="4">E59*D59</f>
        <v>0</v>
      </c>
      <c r="G59" s="5"/>
      <c r="H59" s="142">
        <f t="shared" ref="H59:H62" si="5">G59*D59</f>
        <v>0</v>
      </c>
      <c r="I59" s="5"/>
      <c r="J59" s="10">
        <f t="shared" ref="J59:J62" si="6">I59*D59</f>
        <v>0</v>
      </c>
      <c r="K59" s="142">
        <f t="shared" ref="K59:K62" si="7">J59+H59+F59</f>
        <v>0</v>
      </c>
    </row>
    <row r="60" spans="1:11" x14ac:dyDescent="0.35">
      <c r="A60" s="390"/>
      <c r="B60" s="151" t="s">
        <v>405</v>
      </c>
      <c r="C60" s="6" t="s">
        <v>13</v>
      </c>
      <c r="D60" s="5">
        <f>D57</f>
        <v>18.059999999999999</v>
      </c>
      <c r="E60" s="5"/>
      <c r="F60" s="5">
        <f t="shared" si="4"/>
        <v>0</v>
      </c>
      <c r="G60" s="5"/>
      <c r="H60" s="142">
        <f t="shared" si="5"/>
        <v>0</v>
      </c>
      <c r="I60" s="5"/>
      <c r="J60" s="10">
        <f t="shared" si="6"/>
        <v>0</v>
      </c>
      <c r="K60" s="142">
        <f t="shared" si="7"/>
        <v>0</v>
      </c>
    </row>
    <row r="61" spans="1:11" ht="27" x14ac:dyDescent="0.35">
      <c r="A61" s="390"/>
      <c r="B61" s="151" t="s">
        <v>406</v>
      </c>
      <c r="C61" s="6" t="s">
        <v>13</v>
      </c>
      <c r="D61" s="5">
        <f>D57</f>
        <v>18.059999999999999</v>
      </c>
      <c r="E61" s="5"/>
      <c r="F61" s="5">
        <f t="shared" si="4"/>
        <v>0</v>
      </c>
      <c r="G61" s="5"/>
      <c r="H61" s="142">
        <f t="shared" si="5"/>
        <v>0</v>
      </c>
      <c r="I61" s="5"/>
      <c r="J61" s="10">
        <f t="shared" si="6"/>
        <v>0</v>
      </c>
      <c r="K61" s="142">
        <f t="shared" si="7"/>
        <v>0</v>
      </c>
    </row>
    <row r="62" spans="1:11" x14ac:dyDescent="0.35">
      <c r="A62" s="390"/>
      <c r="B62" s="23" t="s">
        <v>38</v>
      </c>
      <c r="C62" s="6" t="s">
        <v>1</v>
      </c>
      <c r="D62" s="5">
        <f>D56*0.05+D57*0.05</f>
        <v>0.90300000000000002</v>
      </c>
      <c r="E62" s="5"/>
      <c r="F62" s="5">
        <f t="shared" si="4"/>
        <v>0</v>
      </c>
      <c r="G62" s="5"/>
      <c r="H62" s="142">
        <f t="shared" si="5"/>
        <v>0</v>
      </c>
      <c r="I62" s="5"/>
      <c r="J62" s="10">
        <f t="shared" si="6"/>
        <v>0</v>
      </c>
      <c r="K62" s="142">
        <f t="shared" si="7"/>
        <v>0</v>
      </c>
    </row>
    <row r="63" spans="1:11" ht="54" x14ac:dyDescent="0.35">
      <c r="A63" s="389" t="s">
        <v>25</v>
      </c>
      <c r="B63" s="149" t="s">
        <v>407</v>
      </c>
      <c r="C63" s="6" t="s">
        <v>402</v>
      </c>
      <c r="D63" s="150">
        <f>1.2*2.15*7</f>
        <v>18.059999999999999</v>
      </c>
      <c r="E63" s="5"/>
      <c r="F63" s="5"/>
      <c r="G63" s="5"/>
      <c r="H63" s="5">
        <f>G63*D63</f>
        <v>0</v>
      </c>
      <c r="I63" s="5"/>
      <c r="J63" s="127">
        <f>I63*D63</f>
        <v>0</v>
      </c>
      <c r="K63" s="5">
        <f>J63+H63+F63</f>
        <v>0</v>
      </c>
    </row>
    <row r="64" spans="1:11" x14ac:dyDescent="0.35">
      <c r="A64" s="390"/>
      <c r="B64" s="23" t="s">
        <v>408</v>
      </c>
      <c r="C64" s="6" t="s">
        <v>22</v>
      </c>
      <c r="D64" s="5">
        <f>88*1.05</f>
        <v>92.4</v>
      </c>
      <c r="E64" s="5"/>
      <c r="F64" s="5">
        <f>E64*D64</f>
        <v>0</v>
      </c>
      <c r="G64" s="5"/>
      <c r="H64" s="142"/>
      <c r="I64" s="5"/>
      <c r="J64" s="10"/>
      <c r="K64" s="142">
        <f t="shared" ref="K64:K68" si="8">J64+H64+F64</f>
        <v>0</v>
      </c>
    </row>
    <row r="65" spans="1:11" x14ac:dyDescent="0.35">
      <c r="A65" s="390"/>
      <c r="B65" s="23" t="s">
        <v>409</v>
      </c>
      <c r="C65" s="6" t="s">
        <v>40</v>
      </c>
      <c r="D65" s="5">
        <v>6.5</v>
      </c>
      <c r="E65" s="5"/>
      <c r="F65" s="5">
        <f>E65*D65</f>
        <v>0</v>
      </c>
      <c r="G65" s="5"/>
      <c r="H65" s="142"/>
      <c r="I65" s="5"/>
      <c r="J65" s="10"/>
      <c r="K65" s="142">
        <f t="shared" si="8"/>
        <v>0</v>
      </c>
    </row>
    <row r="66" spans="1:11" x14ac:dyDescent="0.35">
      <c r="A66" s="390"/>
      <c r="B66" s="23" t="s">
        <v>410</v>
      </c>
      <c r="C66" s="6" t="s">
        <v>174</v>
      </c>
      <c r="D66" s="5">
        <v>4</v>
      </c>
      <c r="E66" s="5"/>
      <c r="F66" s="5">
        <f>E66*D66</f>
        <v>0</v>
      </c>
      <c r="G66" s="5"/>
      <c r="H66" s="142"/>
      <c r="I66" s="5"/>
      <c r="J66" s="10"/>
      <c r="K66" s="142">
        <f t="shared" si="8"/>
        <v>0</v>
      </c>
    </row>
    <row r="67" spans="1:11" x14ac:dyDescent="0.35">
      <c r="A67" s="390"/>
      <c r="B67" s="23" t="s">
        <v>411</v>
      </c>
      <c r="C67" s="6" t="s">
        <v>22</v>
      </c>
      <c r="D67" s="5">
        <v>15</v>
      </c>
      <c r="E67" s="5"/>
      <c r="F67" s="5">
        <f>E67*D67</f>
        <v>0</v>
      </c>
      <c r="G67" s="5"/>
      <c r="H67" s="142"/>
      <c r="I67" s="5"/>
      <c r="J67" s="10"/>
      <c r="K67" s="142">
        <f t="shared" si="8"/>
        <v>0</v>
      </c>
    </row>
    <row r="68" spans="1:11" x14ac:dyDescent="0.35">
      <c r="A68" s="391"/>
      <c r="B68" s="23" t="s">
        <v>38</v>
      </c>
      <c r="C68" s="6" t="s">
        <v>1</v>
      </c>
      <c r="D68" s="5">
        <f>(D64+D65+D66+D67)*0.05</f>
        <v>5.8950000000000005</v>
      </c>
      <c r="E68" s="5"/>
      <c r="F68" s="5">
        <f>E68*D68</f>
        <v>0</v>
      </c>
      <c r="G68" s="5"/>
      <c r="H68" s="142"/>
      <c r="I68" s="5"/>
      <c r="J68" s="10"/>
      <c r="K68" s="142">
        <f t="shared" si="8"/>
        <v>0</v>
      </c>
    </row>
    <row r="69" spans="1:11" ht="40.5" x14ac:dyDescent="0.35">
      <c r="A69" s="47">
        <v>8</v>
      </c>
      <c r="B69" s="85" t="s">
        <v>412</v>
      </c>
      <c r="C69" s="18" t="s">
        <v>13</v>
      </c>
      <c r="D69" s="148">
        <v>135</v>
      </c>
      <c r="E69" s="68"/>
      <c r="F69" s="5">
        <f t="shared" si="3"/>
        <v>0</v>
      </c>
      <c r="G69" s="5"/>
      <c r="H69" s="142">
        <f t="shared" si="0"/>
        <v>0</v>
      </c>
      <c r="I69" s="5"/>
      <c r="J69" s="10">
        <f t="shared" si="1"/>
        <v>0</v>
      </c>
      <c r="K69" s="142">
        <f t="shared" si="2"/>
        <v>0</v>
      </c>
    </row>
    <row r="70" spans="1:11" ht="54" x14ac:dyDescent="0.35">
      <c r="A70" s="388">
        <v>9</v>
      </c>
      <c r="B70" s="85" t="s">
        <v>413</v>
      </c>
      <c r="C70" s="18" t="s">
        <v>13</v>
      </c>
      <c r="D70" s="148">
        <v>75</v>
      </c>
      <c r="E70" s="68"/>
      <c r="F70" s="5">
        <f t="shared" si="3"/>
        <v>0</v>
      </c>
      <c r="G70" s="5"/>
      <c r="H70" s="142">
        <f t="shared" si="0"/>
        <v>0</v>
      </c>
      <c r="I70" s="5"/>
      <c r="J70" s="10">
        <f t="shared" si="1"/>
        <v>0</v>
      </c>
      <c r="K70" s="142">
        <f t="shared" si="2"/>
        <v>0</v>
      </c>
    </row>
    <row r="71" spans="1:11" x14ac:dyDescent="0.35">
      <c r="A71" s="359"/>
      <c r="B71" s="86" t="s">
        <v>414</v>
      </c>
      <c r="C71" s="2" t="s">
        <v>13</v>
      </c>
      <c r="D71" s="5">
        <f>(D69*2+D70)*1.05</f>
        <v>362.25</v>
      </c>
      <c r="E71" s="5"/>
      <c r="F71" s="5">
        <f t="shared" si="3"/>
        <v>0</v>
      </c>
      <c r="G71" s="5"/>
      <c r="H71" s="142">
        <f t="shared" si="0"/>
        <v>0</v>
      </c>
      <c r="I71" s="5"/>
      <c r="J71" s="10">
        <f t="shared" si="1"/>
        <v>0</v>
      </c>
      <c r="K71" s="142">
        <f t="shared" si="2"/>
        <v>0</v>
      </c>
    </row>
    <row r="72" spans="1:11" x14ac:dyDescent="0.35">
      <c r="A72" s="359"/>
      <c r="B72" s="86" t="s">
        <v>405</v>
      </c>
      <c r="C72" s="2" t="s">
        <v>13</v>
      </c>
      <c r="D72" s="5">
        <f>D69</f>
        <v>135</v>
      </c>
      <c r="E72" s="5"/>
      <c r="F72" s="5">
        <f t="shared" si="3"/>
        <v>0</v>
      </c>
      <c r="G72" s="5"/>
      <c r="H72" s="142">
        <f t="shared" si="0"/>
        <v>0</v>
      </c>
      <c r="I72" s="5"/>
      <c r="J72" s="10">
        <f t="shared" si="1"/>
        <v>0</v>
      </c>
      <c r="K72" s="142">
        <f t="shared" si="2"/>
        <v>0</v>
      </c>
    </row>
    <row r="73" spans="1:11" x14ac:dyDescent="0.35">
      <c r="A73" s="359"/>
      <c r="B73" s="86" t="s">
        <v>415</v>
      </c>
      <c r="C73" s="2" t="s">
        <v>13</v>
      </c>
      <c r="D73" s="5">
        <f>D70</f>
        <v>75</v>
      </c>
      <c r="E73" s="5"/>
      <c r="F73" s="5">
        <f t="shared" si="3"/>
        <v>0</v>
      </c>
      <c r="G73" s="5"/>
      <c r="H73" s="142">
        <f t="shared" si="0"/>
        <v>0</v>
      </c>
      <c r="I73" s="5"/>
      <c r="J73" s="10">
        <f t="shared" si="1"/>
        <v>0</v>
      </c>
      <c r="K73" s="142">
        <f t="shared" si="2"/>
        <v>0</v>
      </c>
    </row>
    <row r="74" spans="1:11" ht="27" x14ac:dyDescent="0.35">
      <c r="A74" s="359"/>
      <c r="B74" s="86" t="s">
        <v>416</v>
      </c>
      <c r="C74" s="2" t="s">
        <v>13</v>
      </c>
      <c r="D74" s="5">
        <f>D69*1.02</f>
        <v>137.69999999999999</v>
      </c>
      <c r="E74" s="5"/>
      <c r="F74" s="5">
        <f t="shared" si="3"/>
        <v>0</v>
      </c>
      <c r="G74" s="5"/>
      <c r="H74" s="142">
        <f t="shared" si="0"/>
        <v>0</v>
      </c>
      <c r="I74" s="5"/>
      <c r="J74" s="10">
        <f t="shared" si="1"/>
        <v>0</v>
      </c>
      <c r="K74" s="142">
        <f t="shared" si="2"/>
        <v>0</v>
      </c>
    </row>
    <row r="75" spans="1:11" x14ac:dyDescent="0.35">
      <c r="A75" s="360"/>
      <c r="B75" s="13" t="s">
        <v>38</v>
      </c>
      <c r="C75" s="2" t="s">
        <v>1</v>
      </c>
      <c r="D75" s="5">
        <f>D69*0.05+D70*0.05</f>
        <v>10.5</v>
      </c>
      <c r="E75" s="5"/>
      <c r="F75" s="5">
        <f t="shared" si="3"/>
        <v>0</v>
      </c>
      <c r="G75" s="5"/>
      <c r="H75" s="142">
        <f t="shared" si="0"/>
        <v>0</v>
      </c>
      <c r="I75" s="5"/>
      <c r="J75" s="10">
        <f t="shared" si="1"/>
        <v>0</v>
      </c>
      <c r="K75" s="142">
        <f t="shared" si="2"/>
        <v>0</v>
      </c>
    </row>
    <row r="76" spans="1:11" ht="40.5" x14ac:dyDescent="0.35">
      <c r="A76" s="383">
        <v>10</v>
      </c>
      <c r="B76" s="125" t="s">
        <v>481</v>
      </c>
      <c r="C76" s="88" t="s">
        <v>13</v>
      </c>
      <c r="D76" s="148">
        <v>100</v>
      </c>
      <c r="E76" s="126"/>
      <c r="F76" s="5">
        <f t="shared" si="3"/>
        <v>0</v>
      </c>
      <c r="G76" s="5"/>
      <c r="H76" s="5">
        <f t="shared" si="0"/>
        <v>0</v>
      </c>
      <c r="I76" s="5"/>
      <c r="J76" s="127">
        <f t="shared" si="1"/>
        <v>0</v>
      </c>
      <c r="K76" s="5">
        <f t="shared" si="2"/>
        <v>0</v>
      </c>
    </row>
    <row r="77" spans="1:11" x14ac:dyDescent="0.35">
      <c r="A77" s="362"/>
      <c r="B77" s="13" t="s">
        <v>417</v>
      </c>
      <c r="C77" s="2" t="s">
        <v>29</v>
      </c>
      <c r="D77" s="5">
        <f>0.034*D76</f>
        <v>3.4000000000000004</v>
      </c>
      <c r="E77" s="5"/>
      <c r="F77" s="5">
        <f t="shared" si="3"/>
        <v>0</v>
      </c>
      <c r="G77" s="5"/>
      <c r="H77" s="142">
        <f t="shared" si="0"/>
        <v>0</v>
      </c>
      <c r="I77" s="5"/>
      <c r="J77" s="10">
        <f t="shared" si="1"/>
        <v>0</v>
      </c>
      <c r="K77" s="142">
        <f t="shared" si="2"/>
        <v>0</v>
      </c>
    </row>
    <row r="78" spans="1:11" x14ac:dyDescent="0.35">
      <c r="A78" s="362"/>
      <c r="B78" s="13" t="s">
        <v>418</v>
      </c>
      <c r="C78" s="2" t="s">
        <v>32</v>
      </c>
      <c r="D78" s="5">
        <f>0.0114*D76</f>
        <v>1.1400000000000001</v>
      </c>
      <c r="E78" s="5"/>
      <c r="F78" s="5">
        <f t="shared" si="3"/>
        <v>0</v>
      </c>
      <c r="G78" s="5"/>
      <c r="H78" s="142">
        <f t="shared" si="0"/>
        <v>0</v>
      </c>
      <c r="I78" s="5"/>
      <c r="J78" s="10">
        <f t="shared" si="1"/>
        <v>0</v>
      </c>
      <c r="K78" s="142">
        <f t="shared" si="2"/>
        <v>0</v>
      </c>
    </row>
    <row r="79" spans="1:11" x14ac:dyDescent="0.35">
      <c r="A79" s="362"/>
      <c r="B79" s="13" t="s">
        <v>38</v>
      </c>
      <c r="C79" s="2" t="s">
        <v>1</v>
      </c>
      <c r="D79" s="5">
        <f>D76*0.1</f>
        <v>10</v>
      </c>
      <c r="E79" s="5"/>
      <c r="F79" s="5">
        <f t="shared" si="3"/>
        <v>0</v>
      </c>
      <c r="G79" s="5"/>
      <c r="H79" s="142">
        <f t="shared" si="0"/>
        <v>0</v>
      </c>
      <c r="I79" s="5"/>
      <c r="J79" s="10">
        <f t="shared" si="1"/>
        <v>0</v>
      </c>
      <c r="K79" s="142">
        <f t="shared" si="2"/>
        <v>0</v>
      </c>
    </row>
    <row r="80" spans="1:11" x14ac:dyDescent="0.35">
      <c r="A80" s="384">
        <v>11</v>
      </c>
      <c r="B80" s="200" t="s">
        <v>125</v>
      </c>
      <c r="C80" s="201" t="s">
        <v>13</v>
      </c>
      <c r="D80" s="148">
        <v>335</v>
      </c>
      <c r="E80" s="148"/>
      <c r="F80" s="187">
        <f t="shared" si="3"/>
        <v>0</v>
      </c>
      <c r="G80" s="187"/>
      <c r="H80" s="187">
        <f t="shared" si="0"/>
        <v>0</v>
      </c>
      <c r="I80" s="187"/>
      <c r="J80" s="188">
        <f t="shared" si="1"/>
        <v>0</v>
      </c>
      <c r="K80" s="187">
        <f t="shared" si="2"/>
        <v>0</v>
      </c>
    </row>
    <row r="81" spans="1:11" x14ac:dyDescent="0.35">
      <c r="A81" s="354"/>
      <c r="B81" s="13" t="s">
        <v>419</v>
      </c>
      <c r="C81" s="2" t="s">
        <v>13</v>
      </c>
      <c r="D81" s="5">
        <f>1.03*D80</f>
        <v>345.05</v>
      </c>
      <c r="E81" s="5"/>
      <c r="F81" s="5">
        <f t="shared" si="3"/>
        <v>0</v>
      </c>
      <c r="G81" s="5"/>
      <c r="H81" s="142">
        <f t="shared" si="0"/>
        <v>0</v>
      </c>
      <c r="I81" s="5"/>
      <c r="J81" s="10">
        <f t="shared" si="1"/>
        <v>0</v>
      </c>
      <c r="K81" s="142">
        <f t="shared" si="2"/>
        <v>0</v>
      </c>
    </row>
    <row r="82" spans="1:11" x14ac:dyDescent="0.35">
      <c r="A82" s="354"/>
      <c r="B82" s="13" t="s">
        <v>420</v>
      </c>
      <c r="C82" s="2" t="s">
        <v>40</v>
      </c>
      <c r="D82" s="5">
        <f>5*D80</f>
        <v>1675</v>
      </c>
      <c r="E82" s="5"/>
      <c r="F82" s="5">
        <f t="shared" si="3"/>
        <v>0</v>
      </c>
      <c r="G82" s="5"/>
      <c r="H82" s="142">
        <f t="shared" si="0"/>
        <v>0</v>
      </c>
      <c r="I82" s="5"/>
      <c r="J82" s="10">
        <f t="shared" si="1"/>
        <v>0</v>
      </c>
      <c r="K82" s="142">
        <f t="shared" si="2"/>
        <v>0</v>
      </c>
    </row>
    <row r="83" spans="1:11" x14ac:dyDescent="0.35">
      <c r="A83" s="354"/>
      <c r="B83" s="13" t="s">
        <v>421</v>
      </c>
      <c r="C83" s="2" t="s">
        <v>40</v>
      </c>
      <c r="D83" s="5">
        <f>0.04*D80</f>
        <v>13.4</v>
      </c>
      <c r="E83" s="5"/>
      <c r="F83" s="5">
        <f t="shared" si="3"/>
        <v>0</v>
      </c>
      <c r="G83" s="5"/>
      <c r="H83" s="142">
        <f t="shared" si="0"/>
        <v>0</v>
      </c>
      <c r="I83" s="5"/>
      <c r="J83" s="10">
        <f t="shared" si="1"/>
        <v>0</v>
      </c>
      <c r="K83" s="142">
        <f t="shared" si="2"/>
        <v>0</v>
      </c>
    </row>
    <row r="84" spans="1:11" x14ac:dyDescent="0.35">
      <c r="A84" s="355"/>
      <c r="B84" s="13" t="s">
        <v>38</v>
      </c>
      <c r="C84" s="2" t="s">
        <v>1</v>
      </c>
      <c r="D84" s="5">
        <f>D80*0.05</f>
        <v>16.75</v>
      </c>
      <c r="E84" s="5"/>
      <c r="F84" s="5">
        <f t="shared" si="3"/>
        <v>0</v>
      </c>
      <c r="G84" s="5"/>
      <c r="H84" s="142">
        <f t="shared" si="0"/>
        <v>0</v>
      </c>
      <c r="I84" s="5"/>
      <c r="J84" s="10">
        <f t="shared" si="1"/>
        <v>0</v>
      </c>
      <c r="K84" s="142">
        <f t="shared" si="2"/>
        <v>0</v>
      </c>
    </row>
    <row r="85" spans="1:11" ht="27" x14ac:dyDescent="0.35">
      <c r="A85" s="384">
        <v>12</v>
      </c>
      <c r="B85" s="17" t="s">
        <v>36</v>
      </c>
      <c r="C85" s="18" t="s">
        <v>22</v>
      </c>
      <c r="D85" s="148">
        <v>30</v>
      </c>
      <c r="E85" s="5"/>
      <c r="F85" s="5">
        <f t="shared" si="3"/>
        <v>0</v>
      </c>
      <c r="G85" s="5"/>
      <c r="H85" s="142">
        <f t="shared" si="0"/>
        <v>0</v>
      </c>
      <c r="I85" s="5"/>
      <c r="J85" s="10">
        <f t="shared" si="1"/>
        <v>0</v>
      </c>
      <c r="K85" s="142">
        <f t="shared" si="2"/>
        <v>0</v>
      </c>
    </row>
    <row r="86" spans="1:11" x14ac:dyDescent="0.35">
      <c r="A86" s="354"/>
      <c r="B86" s="13" t="s">
        <v>37</v>
      </c>
      <c r="C86" s="2" t="s">
        <v>22</v>
      </c>
      <c r="D86" s="5">
        <v>30</v>
      </c>
      <c r="E86" s="5"/>
      <c r="F86" s="5">
        <f t="shared" si="3"/>
        <v>0</v>
      </c>
      <c r="G86" s="5"/>
      <c r="H86" s="142">
        <f t="shared" si="0"/>
        <v>0</v>
      </c>
      <c r="I86" s="5"/>
      <c r="J86" s="10">
        <f t="shared" si="1"/>
        <v>0</v>
      </c>
      <c r="K86" s="142">
        <f t="shared" si="2"/>
        <v>0</v>
      </c>
    </row>
    <row r="87" spans="1:11" x14ac:dyDescent="0.35">
      <c r="A87" s="355"/>
      <c r="B87" s="13" t="s">
        <v>38</v>
      </c>
      <c r="C87" s="2" t="s">
        <v>1</v>
      </c>
      <c r="D87" s="5">
        <f>D85*0.1</f>
        <v>3</v>
      </c>
      <c r="E87" s="5"/>
      <c r="F87" s="5">
        <f t="shared" si="3"/>
        <v>0</v>
      </c>
      <c r="G87" s="5"/>
      <c r="H87" s="142">
        <f t="shared" si="0"/>
        <v>0</v>
      </c>
      <c r="I87" s="5"/>
      <c r="J87" s="10">
        <f t="shared" si="1"/>
        <v>0</v>
      </c>
      <c r="K87" s="142">
        <f t="shared" si="2"/>
        <v>0</v>
      </c>
    </row>
    <row r="88" spans="1:11" ht="27" x14ac:dyDescent="0.35">
      <c r="A88" s="384">
        <v>13</v>
      </c>
      <c r="B88" s="17" t="s">
        <v>469</v>
      </c>
      <c r="C88" s="18" t="s">
        <v>13</v>
      </c>
      <c r="D88" s="148">
        <v>1910</v>
      </c>
      <c r="E88" s="5"/>
      <c r="F88" s="5">
        <f t="shared" si="3"/>
        <v>0</v>
      </c>
      <c r="G88" s="5"/>
      <c r="H88" s="142">
        <f t="shared" ref="H88:H162" si="9">G88*D88</f>
        <v>0</v>
      </c>
      <c r="I88" s="5"/>
      <c r="J88" s="10">
        <f t="shared" ref="J88:J162" si="10">I88*D88</f>
        <v>0</v>
      </c>
      <c r="K88" s="142">
        <f t="shared" ref="K88:K162" si="11">J88+H88+F88</f>
        <v>0</v>
      </c>
    </row>
    <row r="89" spans="1:11" x14ac:dyDescent="0.35">
      <c r="A89" s="354"/>
      <c r="B89" s="13" t="s">
        <v>262</v>
      </c>
      <c r="C89" s="2" t="s">
        <v>40</v>
      </c>
      <c r="D89" s="5">
        <f>0.25*D88</f>
        <v>477.5</v>
      </c>
      <c r="E89" s="5"/>
      <c r="F89" s="5">
        <f t="shared" si="3"/>
        <v>0</v>
      </c>
      <c r="G89" s="5"/>
      <c r="H89" s="142">
        <f t="shared" si="9"/>
        <v>0</v>
      </c>
      <c r="I89" s="5"/>
      <c r="J89" s="10">
        <f t="shared" si="10"/>
        <v>0</v>
      </c>
      <c r="K89" s="142">
        <f t="shared" si="11"/>
        <v>0</v>
      </c>
    </row>
    <row r="90" spans="1:11" x14ac:dyDescent="0.35">
      <c r="A90" s="354"/>
      <c r="B90" s="13" t="s">
        <v>263</v>
      </c>
      <c r="C90" s="2" t="s">
        <v>40</v>
      </c>
      <c r="D90" s="5">
        <f>0.4*D88</f>
        <v>764</v>
      </c>
      <c r="E90" s="5"/>
      <c r="F90" s="5">
        <f t="shared" si="3"/>
        <v>0</v>
      </c>
      <c r="G90" s="5"/>
      <c r="H90" s="142">
        <f t="shared" si="9"/>
        <v>0</v>
      </c>
      <c r="I90" s="5"/>
      <c r="J90" s="10">
        <f t="shared" si="10"/>
        <v>0</v>
      </c>
      <c r="K90" s="142">
        <f t="shared" si="11"/>
        <v>0</v>
      </c>
    </row>
    <row r="91" spans="1:11" x14ac:dyDescent="0.35">
      <c r="A91" s="354"/>
      <c r="B91" s="13" t="s">
        <v>264</v>
      </c>
      <c r="C91" s="2" t="s">
        <v>40</v>
      </c>
      <c r="D91" s="5">
        <f>0.15*D88</f>
        <v>286.5</v>
      </c>
      <c r="E91" s="5"/>
      <c r="F91" s="5">
        <f t="shared" si="3"/>
        <v>0</v>
      </c>
      <c r="G91" s="5"/>
      <c r="H91" s="142">
        <f t="shared" si="9"/>
        <v>0</v>
      </c>
      <c r="I91" s="5"/>
      <c r="J91" s="10">
        <f t="shared" si="10"/>
        <v>0</v>
      </c>
      <c r="K91" s="142">
        <f t="shared" si="11"/>
        <v>0</v>
      </c>
    </row>
    <row r="92" spans="1:11" x14ac:dyDescent="0.35">
      <c r="A92" s="354"/>
      <c r="B92" s="13" t="s">
        <v>265</v>
      </c>
      <c r="C92" s="2" t="s">
        <v>40</v>
      </c>
      <c r="D92" s="5">
        <f>0.4*D88*0.2</f>
        <v>152.80000000000001</v>
      </c>
      <c r="E92" s="5"/>
      <c r="F92" s="5">
        <f t="shared" si="3"/>
        <v>0</v>
      </c>
      <c r="G92" s="5"/>
      <c r="H92" s="142">
        <f t="shared" si="9"/>
        <v>0</v>
      </c>
      <c r="I92" s="5"/>
      <c r="J92" s="10">
        <f t="shared" si="10"/>
        <v>0</v>
      </c>
      <c r="K92" s="142">
        <f t="shared" si="11"/>
        <v>0</v>
      </c>
    </row>
    <row r="93" spans="1:11" x14ac:dyDescent="0.35">
      <c r="A93" s="354"/>
      <c r="B93" s="13" t="s">
        <v>266</v>
      </c>
      <c r="C93" s="2" t="s">
        <v>13</v>
      </c>
      <c r="D93" s="5">
        <f>0.009*D88</f>
        <v>17.189999999999998</v>
      </c>
      <c r="E93" s="5"/>
      <c r="F93" s="5">
        <f t="shared" si="3"/>
        <v>0</v>
      </c>
      <c r="G93" s="5"/>
      <c r="H93" s="142">
        <f t="shared" si="9"/>
        <v>0</v>
      </c>
      <c r="I93" s="5"/>
      <c r="J93" s="10">
        <f t="shared" si="10"/>
        <v>0</v>
      </c>
      <c r="K93" s="142">
        <f t="shared" si="11"/>
        <v>0</v>
      </c>
    </row>
    <row r="94" spans="1:11" x14ac:dyDescent="0.35">
      <c r="A94" s="354"/>
      <c r="B94" s="13" t="s">
        <v>267</v>
      </c>
      <c r="C94" s="2" t="s">
        <v>22</v>
      </c>
      <c r="D94" s="5">
        <f>0.4*D88</f>
        <v>764</v>
      </c>
      <c r="E94" s="5"/>
      <c r="F94" s="5">
        <f t="shared" si="3"/>
        <v>0</v>
      </c>
      <c r="G94" s="5"/>
      <c r="H94" s="142">
        <f t="shared" si="9"/>
        <v>0</v>
      </c>
      <c r="I94" s="5"/>
      <c r="J94" s="10">
        <f t="shared" si="10"/>
        <v>0</v>
      </c>
      <c r="K94" s="142">
        <f t="shared" si="11"/>
        <v>0</v>
      </c>
    </row>
    <row r="95" spans="1:11" x14ac:dyDescent="0.35">
      <c r="A95" s="354"/>
      <c r="B95" s="13" t="s">
        <v>268</v>
      </c>
      <c r="C95" s="2" t="s">
        <v>22</v>
      </c>
      <c r="D95" s="5">
        <f>0.3*D88</f>
        <v>573</v>
      </c>
      <c r="E95" s="5"/>
      <c r="F95" s="5">
        <f t="shared" si="3"/>
        <v>0</v>
      </c>
      <c r="G95" s="5"/>
      <c r="H95" s="142">
        <f t="shared" si="9"/>
        <v>0</v>
      </c>
      <c r="I95" s="5"/>
      <c r="J95" s="10">
        <f t="shared" si="10"/>
        <v>0</v>
      </c>
      <c r="K95" s="142">
        <f t="shared" si="11"/>
        <v>0</v>
      </c>
    </row>
    <row r="96" spans="1:11" x14ac:dyDescent="0.35">
      <c r="A96" s="355"/>
      <c r="B96" s="13" t="s">
        <v>38</v>
      </c>
      <c r="C96" s="2" t="s">
        <v>1</v>
      </c>
      <c r="D96" s="5">
        <f>D88*0.02</f>
        <v>38.200000000000003</v>
      </c>
      <c r="E96" s="5"/>
      <c r="F96" s="5">
        <f t="shared" si="3"/>
        <v>0</v>
      </c>
      <c r="G96" s="5"/>
      <c r="H96" s="142">
        <f t="shared" si="9"/>
        <v>0</v>
      </c>
      <c r="I96" s="5"/>
      <c r="J96" s="10">
        <f t="shared" si="10"/>
        <v>0</v>
      </c>
      <c r="K96" s="142">
        <f t="shared" si="11"/>
        <v>0</v>
      </c>
    </row>
    <row r="97" spans="1:12" ht="54" x14ac:dyDescent="0.35">
      <c r="A97" s="392">
        <v>14</v>
      </c>
      <c r="B97" s="125" t="s">
        <v>422</v>
      </c>
      <c r="C97" s="88" t="s">
        <v>13</v>
      </c>
      <c r="D97" s="148">
        <f>D69+D58+D57*2</f>
        <v>189.12</v>
      </c>
      <c r="E97" s="5"/>
      <c r="F97" s="5">
        <f t="shared" si="3"/>
        <v>0</v>
      </c>
      <c r="G97" s="5"/>
      <c r="H97" s="5">
        <f t="shared" si="9"/>
        <v>0</v>
      </c>
      <c r="I97" s="5"/>
      <c r="J97" s="127">
        <f t="shared" si="10"/>
        <v>0</v>
      </c>
      <c r="K97" s="5">
        <f t="shared" si="11"/>
        <v>0</v>
      </c>
      <c r="L97" s="22"/>
    </row>
    <row r="98" spans="1:12" x14ac:dyDescent="0.35">
      <c r="A98" s="393"/>
      <c r="B98" s="13" t="s">
        <v>423</v>
      </c>
      <c r="C98" s="2" t="s">
        <v>40</v>
      </c>
      <c r="D98" s="142">
        <f>0.25*D97</f>
        <v>47.28</v>
      </c>
      <c r="E98" s="5"/>
      <c r="F98" s="5">
        <f t="shared" si="3"/>
        <v>0</v>
      </c>
      <c r="G98" s="142"/>
      <c r="H98" s="142">
        <f t="shared" si="9"/>
        <v>0</v>
      </c>
      <c r="I98" s="142"/>
      <c r="J98" s="10">
        <f t="shared" si="10"/>
        <v>0</v>
      </c>
      <c r="K98" s="142">
        <f t="shared" si="11"/>
        <v>0</v>
      </c>
    </row>
    <row r="99" spans="1:12" x14ac:dyDescent="0.35">
      <c r="A99" s="393"/>
      <c r="B99" s="13" t="s">
        <v>424</v>
      </c>
      <c r="C99" s="2" t="s">
        <v>40</v>
      </c>
      <c r="D99" s="5">
        <f>0.4*D97</f>
        <v>75.64800000000001</v>
      </c>
      <c r="E99" s="5"/>
      <c r="F99" s="5">
        <f t="shared" si="3"/>
        <v>0</v>
      </c>
      <c r="G99" s="142"/>
      <c r="H99" s="142">
        <f t="shared" si="9"/>
        <v>0</v>
      </c>
      <c r="I99" s="142"/>
      <c r="J99" s="10">
        <f t="shared" si="10"/>
        <v>0</v>
      </c>
      <c r="K99" s="142">
        <f t="shared" si="11"/>
        <v>0</v>
      </c>
    </row>
    <row r="100" spans="1:12" x14ac:dyDescent="0.35">
      <c r="A100" s="393"/>
      <c r="B100" s="13" t="s">
        <v>269</v>
      </c>
      <c r="C100" s="2" t="s">
        <v>40</v>
      </c>
      <c r="D100" s="5">
        <f>0.15*D97</f>
        <v>28.367999999999999</v>
      </c>
      <c r="E100" s="5"/>
      <c r="F100" s="5">
        <f t="shared" si="3"/>
        <v>0</v>
      </c>
      <c r="G100" s="142"/>
      <c r="H100" s="142">
        <f t="shared" si="9"/>
        <v>0</v>
      </c>
      <c r="I100" s="142"/>
      <c r="J100" s="10">
        <f t="shared" si="10"/>
        <v>0</v>
      </c>
      <c r="K100" s="142">
        <f t="shared" si="11"/>
        <v>0</v>
      </c>
    </row>
    <row r="101" spans="1:12" x14ac:dyDescent="0.35">
      <c r="A101" s="393"/>
      <c r="B101" s="13" t="s">
        <v>425</v>
      </c>
      <c r="C101" s="2" t="s">
        <v>40</v>
      </c>
      <c r="D101" s="5">
        <f>0.08*D97</f>
        <v>15.1296</v>
      </c>
      <c r="E101" s="5"/>
      <c r="F101" s="5">
        <f t="shared" si="3"/>
        <v>0</v>
      </c>
      <c r="G101" s="142"/>
      <c r="H101" s="142">
        <f t="shared" si="9"/>
        <v>0</v>
      </c>
      <c r="I101" s="142"/>
      <c r="J101" s="10">
        <f t="shared" si="10"/>
        <v>0</v>
      </c>
      <c r="K101" s="142">
        <f t="shared" si="11"/>
        <v>0</v>
      </c>
    </row>
    <row r="102" spans="1:12" x14ac:dyDescent="0.35">
      <c r="A102" s="393"/>
      <c r="B102" s="13" t="s">
        <v>426</v>
      </c>
      <c r="C102" s="2" t="s">
        <v>13</v>
      </c>
      <c r="D102" s="5">
        <f>0.009*D97</f>
        <v>1.7020799999999998</v>
      </c>
      <c r="E102" s="5"/>
      <c r="F102" s="5">
        <f t="shared" si="3"/>
        <v>0</v>
      </c>
      <c r="G102" s="142"/>
      <c r="H102" s="142">
        <f t="shared" si="9"/>
        <v>0</v>
      </c>
      <c r="I102" s="142"/>
      <c r="J102" s="10">
        <f t="shared" si="10"/>
        <v>0</v>
      </c>
      <c r="K102" s="142">
        <f t="shared" si="11"/>
        <v>0</v>
      </c>
    </row>
    <row r="103" spans="1:12" x14ac:dyDescent="0.35">
      <c r="A103" s="393"/>
      <c r="B103" s="13" t="s">
        <v>427</v>
      </c>
      <c r="C103" s="2" t="s">
        <v>22</v>
      </c>
      <c r="D103" s="5">
        <f>0.4*D97</f>
        <v>75.64800000000001</v>
      </c>
      <c r="E103" s="5"/>
      <c r="F103" s="5">
        <f t="shared" si="3"/>
        <v>0</v>
      </c>
      <c r="G103" s="142"/>
      <c r="H103" s="142">
        <f t="shared" si="9"/>
        <v>0</v>
      </c>
      <c r="I103" s="142"/>
      <c r="J103" s="10">
        <f t="shared" si="10"/>
        <v>0</v>
      </c>
      <c r="K103" s="142">
        <f t="shared" si="11"/>
        <v>0</v>
      </c>
    </row>
    <row r="104" spans="1:12" x14ac:dyDescent="0.35">
      <c r="A104" s="393"/>
      <c r="B104" s="13" t="s">
        <v>428</v>
      </c>
      <c r="C104" s="2" t="s">
        <v>22</v>
      </c>
      <c r="D104" s="5">
        <f>0.3*D97</f>
        <v>56.735999999999997</v>
      </c>
      <c r="E104" s="5"/>
      <c r="F104" s="5">
        <f t="shared" si="3"/>
        <v>0</v>
      </c>
      <c r="G104" s="142"/>
      <c r="H104" s="142">
        <f t="shared" si="9"/>
        <v>0</v>
      </c>
      <c r="I104" s="142"/>
      <c r="J104" s="10">
        <f t="shared" si="10"/>
        <v>0</v>
      </c>
      <c r="K104" s="142">
        <f t="shared" si="11"/>
        <v>0</v>
      </c>
    </row>
    <row r="105" spans="1:12" x14ac:dyDescent="0.35">
      <c r="A105" s="393"/>
      <c r="B105" s="13" t="s">
        <v>38</v>
      </c>
      <c r="C105" s="2" t="s">
        <v>1</v>
      </c>
      <c r="D105" s="5">
        <f>D97*0.02</f>
        <v>3.7824</v>
      </c>
      <c r="E105" s="5"/>
      <c r="F105" s="5">
        <f t="shared" si="3"/>
        <v>0</v>
      </c>
      <c r="G105" s="5"/>
      <c r="H105" s="142">
        <f t="shared" si="9"/>
        <v>0</v>
      </c>
      <c r="I105" s="5"/>
      <c r="J105" s="10">
        <f t="shared" si="10"/>
        <v>0</v>
      </c>
      <c r="K105" s="142">
        <f t="shared" si="11"/>
        <v>0</v>
      </c>
    </row>
    <row r="106" spans="1:12" ht="40.5" x14ac:dyDescent="0.35">
      <c r="A106" s="394">
        <v>15</v>
      </c>
      <c r="B106" s="17" t="s">
        <v>42</v>
      </c>
      <c r="C106" s="18" t="s">
        <v>13</v>
      </c>
      <c r="D106" s="152">
        <v>82</v>
      </c>
      <c r="E106" s="139"/>
      <c r="F106" s="5">
        <f t="shared" si="3"/>
        <v>0</v>
      </c>
      <c r="G106" s="7"/>
      <c r="H106" s="142">
        <f t="shared" si="9"/>
        <v>0</v>
      </c>
      <c r="I106" s="139"/>
      <c r="J106" s="10">
        <f t="shared" si="10"/>
        <v>0</v>
      </c>
      <c r="K106" s="142">
        <f t="shared" si="11"/>
        <v>0</v>
      </c>
    </row>
    <row r="107" spans="1:12" x14ac:dyDescent="0.35">
      <c r="A107" s="354"/>
      <c r="B107" s="13" t="s">
        <v>429</v>
      </c>
      <c r="C107" s="2" t="s">
        <v>40</v>
      </c>
      <c r="D107" s="5">
        <f>0.4*D106</f>
        <v>32.800000000000004</v>
      </c>
      <c r="E107" s="142"/>
      <c r="F107" s="5">
        <f t="shared" si="3"/>
        <v>0</v>
      </c>
      <c r="G107" s="142"/>
      <c r="H107" s="142">
        <f t="shared" si="9"/>
        <v>0</v>
      </c>
      <c r="I107" s="142"/>
      <c r="J107" s="10">
        <f t="shared" si="10"/>
        <v>0</v>
      </c>
      <c r="K107" s="142">
        <f t="shared" si="11"/>
        <v>0</v>
      </c>
    </row>
    <row r="108" spans="1:12" x14ac:dyDescent="0.35">
      <c r="A108" s="354"/>
      <c r="B108" s="13" t="s">
        <v>430</v>
      </c>
      <c r="C108" s="2" t="s">
        <v>40</v>
      </c>
      <c r="D108" s="5">
        <f>0.08*D106</f>
        <v>6.5600000000000005</v>
      </c>
      <c r="E108" s="142"/>
      <c r="F108" s="5">
        <f t="shared" si="3"/>
        <v>0</v>
      </c>
      <c r="G108" s="142"/>
      <c r="H108" s="142">
        <f t="shared" si="9"/>
        <v>0</v>
      </c>
      <c r="I108" s="142"/>
      <c r="J108" s="10">
        <f t="shared" si="10"/>
        <v>0</v>
      </c>
      <c r="K108" s="142">
        <f t="shared" si="11"/>
        <v>0</v>
      </c>
    </row>
    <row r="109" spans="1:12" x14ac:dyDescent="0.35">
      <c r="A109" s="354"/>
      <c r="B109" s="13" t="s">
        <v>431</v>
      </c>
      <c r="C109" s="2" t="s">
        <v>13</v>
      </c>
      <c r="D109" s="5">
        <f>0.009*D106</f>
        <v>0.73799999999999999</v>
      </c>
      <c r="E109" s="142"/>
      <c r="F109" s="5">
        <f t="shared" si="3"/>
        <v>0</v>
      </c>
      <c r="G109" s="142"/>
      <c r="H109" s="142">
        <f t="shared" si="9"/>
        <v>0</v>
      </c>
      <c r="I109" s="142"/>
      <c r="J109" s="10">
        <f t="shared" si="10"/>
        <v>0</v>
      </c>
      <c r="K109" s="142">
        <f t="shared" si="11"/>
        <v>0</v>
      </c>
    </row>
    <row r="110" spans="1:12" x14ac:dyDescent="0.35">
      <c r="A110" s="354"/>
      <c r="B110" s="13" t="s">
        <v>38</v>
      </c>
      <c r="C110" s="2" t="s">
        <v>1</v>
      </c>
      <c r="D110" s="5">
        <f>D106*0.1</f>
        <v>8.2000000000000011</v>
      </c>
      <c r="E110" s="5"/>
      <c r="F110" s="5">
        <f t="shared" si="3"/>
        <v>0</v>
      </c>
      <c r="G110" s="5"/>
      <c r="H110" s="142">
        <f t="shared" si="9"/>
        <v>0</v>
      </c>
      <c r="I110" s="5"/>
      <c r="J110" s="10">
        <f t="shared" si="10"/>
        <v>0</v>
      </c>
      <c r="K110" s="142">
        <f t="shared" si="11"/>
        <v>0</v>
      </c>
    </row>
    <row r="111" spans="1:12" ht="40.5" x14ac:dyDescent="0.35">
      <c r="A111" s="394">
        <v>16</v>
      </c>
      <c r="B111" s="17" t="s">
        <v>432</v>
      </c>
      <c r="C111" s="18" t="s">
        <v>13</v>
      </c>
      <c r="D111" s="152">
        <f>0.8*2.3*2*1.2</f>
        <v>4.4159999999999995</v>
      </c>
      <c r="E111" s="139"/>
      <c r="F111" s="5">
        <f t="shared" si="3"/>
        <v>0</v>
      </c>
      <c r="G111" s="7"/>
      <c r="H111" s="142">
        <f t="shared" si="9"/>
        <v>0</v>
      </c>
      <c r="I111" s="139"/>
      <c r="J111" s="10">
        <f t="shared" si="10"/>
        <v>0</v>
      </c>
      <c r="K111" s="142">
        <f t="shared" si="11"/>
        <v>0</v>
      </c>
    </row>
    <row r="112" spans="1:12" x14ac:dyDescent="0.35">
      <c r="A112" s="354"/>
      <c r="B112" s="13" t="s">
        <v>433</v>
      </c>
      <c r="C112" s="2" t="s">
        <v>40</v>
      </c>
      <c r="D112" s="5">
        <f>0.4*D111</f>
        <v>1.7664</v>
      </c>
      <c r="E112" s="142"/>
      <c r="F112" s="5">
        <f t="shared" si="3"/>
        <v>0</v>
      </c>
      <c r="G112" s="142"/>
      <c r="H112" s="142">
        <f t="shared" si="9"/>
        <v>0</v>
      </c>
      <c r="I112" s="142"/>
      <c r="J112" s="10">
        <f t="shared" si="10"/>
        <v>0</v>
      </c>
      <c r="K112" s="142">
        <f t="shared" si="11"/>
        <v>0</v>
      </c>
    </row>
    <row r="113" spans="1:11" x14ac:dyDescent="0.35">
      <c r="A113" s="354"/>
      <c r="B113" s="13" t="s">
        <v>434</v>
      </c>
      <c r="C113" s="2" t="s">
        <v>40</v>
      </c>
      <c r="D113" s="5">
        <f>0.08*D111</f>
        <v>0.35327999999999998</v>
      </c>
      <c r="E113" s="142"/>
      <c r="F113" s="5">
        <f t="shared" si="3"/>
        <v>0</v>
      </c>
      <c r="G113" s="142"/>
      <c r="H113" s="142">
        <f t="shared" si="9"/>
        <v>0</v>
      </c>
      <c r="I113" s="142"/>
      <c r="J113" s="10">
        <f t="shared" si="10"/>
        <v>0</v>
      </c>
      <c r="K113" s="142">
        <f t="shared" si="11"/>
        <v>0</v>
      </c>
    </row>
    <row r="114" spans="1:11" x14ac:dyDescent="0.35">
      <c r="A114" s="354"/>
      <c r="B114" s="13" t="s">
        <v>435</v>
      </c>
      <c r="C114" s="2" t="s">
        <v>13</v>
      </c>
      <c r="D114" s="5">
        <f>0.009*D111</f>
        <v>3.9743999999999995E-2</v>
      </c>
      <c r="E114" s="142"/>
      <c r="F114" s="5">
        <f t="shared" si="3"/>
        <v>0</v>
      </c>
      <c r="G114" s="142"/>
      <c r="H114" s="142">
        <f t="shared" si="9"/>
        <v>0</v>
      </c>
      <c r="I114" s="142"/>
      <c r="J114" s="10">
        <f t="shared" si="10"/>
        <v>0</v>
      </c>
      <c r="K114" s="142">
        <f t="shared" si="11"/>
        <v>0</v>
      </c>
    </row>
    <row r="115" spans="1:11" x14ac:dyDescent="0.35">
      <c r="A115" s="355"/>
      <c r="B115" s="13" t="s">
        <v>38</v>
      </c>
      <c r="C115" s="2" t="s">
        <v>1</v>
      </c>
      <c r="D115" s="5">
        <f>D111*0.1</f>
        <v>0.44159999999999999</v>
      </c>
      <c r="E115" s="5"/>
      <c r="F115" s="5">
        <f t="shared" ref="F115:F180" si="12">E115*D115</f>
        <v>0</v>
      </c>
      <c r="G115" s="5"/>
      <c r="H115" s="142">
        <f t="shared" si="9"/>
        <v>0</v>
      </c>
      <c r="I115" s="5"/>
      <c r="J115" s="10">
        <f t="shared" si="10"/>
        <v>0</v>
      </c>
      <c r="K115" s="142">
        <f t="shared" si="11"/>
        <v>0</v>
      </c>
    </row>
    <row r="116" spans="1:11" x14ac:dyDescent="0.35">
      <c r="A116" s="384">
        <v>17</v>
      </c>
      <c r="B116" s="17" t="s">
        <v>52</v>
      </c>
      <c r="C116" s="18" t="s">
        <v>22</v>
      </c>
      <c r="D116" s="152">
        <f>D33</f>
        <v>164</v>
      </c>
      <c r="E116" s="20"/>
      <c r="F116" s="5">
        <f t="shared" si="12"/>
        <v>0</v>
      </c>
      <c r="G116" s="7"/>
      <c r="H116" s="142">
        <f t="shared" si="9"/>
        <v>0</v>
      </c>
      <c r="I116" s="7"/>
      <c r="J116" s="10">
        <f t="shared" si="10"/>
        <v>0</v>
      </c>
      <c r="K116" s="142">
        <f t="shared" si="11"/>
        <v>0</v>
      </c>
    </row>
    <row r="117" spans="1:11" x14ac:dyDescent="0.35">
      <c r="A117" s="354"/>
      <c r="B117" s="13" t="s">
        <v>273</v>
      </c>
      <c r="C117" s="2" t="s">
        <v>22</v>
      </c>
      <c r="D117" s="7">
        <f>1.05*D116</f>
        <v>172.20000000000002</v>
      </c>
      <c r="E117" s="7"/>
      <c r="F117" s="5">
        <f t="shared" si="12"/>
        <v>0</v>
      </c>
      <c r="G117" s="7"/>
      <c r="H117" s="142">
        <f t="shared" si="9"/>
        <v>0</v>
      </c>
      <c r="I117" s="7"/>
      <c r="J117" s="10">
        <f t="shared" si="10"/>
        <v>0</v>
      </c>
      <c r="K117" s="142">
        <f t="shared" si="11"/>
        <v>0</v>
      </c>
    </row>
    <row r="118" spans="1:11" x14ac:dyDescent="0.35">
      <c r="A118" s="355"/>
      <c r="B118" s="13" t="s">
        <v>38</v>
      </c>
      <c r="C118" s="2" t="s">
        <v>1</v>
      </c>
      <c r="D118" s="7">
        <f>D116*0.05</f>
        <v>8.2000000000000011</v>
      </c>
      <c r="E118" s="7"/>
      <c r="F118" s="5">
        <f t="shared" si="12"/>
        <v>0</v>
      </c>
      <c r="G118" s="7"/>
      <c r="H118" s="142">
        <f t="shared" si="9"/>
        <v>0</v>
      </c>
      <c r="I118" s="7"/>
      <c r="J118" s="10">
        <f t="shared" si="10"/>
        <v>0</v>
      </c>
      <c r="K118" s="142">
        <f t="shared" si="11"/>
        <v>0</v>
      </c>
    </row>
    <row r="119" spans="1:11" x14ac:dyDescent="0.35">
      <c r="A119" s="297"/>
      <c r="B119" s="298" t="s">
        <v>274</v>
      </c>
      <c r="C119" s="299"/>
      <c r="D119" s="300"/>
      <c r="E119" s="300"/>
      <c r="F119" s="279">
        <f t="shared" si="12"/>
        <v>0</v>
      </c>
      <c r="G119" s="300"/>
      <c r="H119" s="279">
        <f t="shared" si="9"/>
        <v>0</v>
      </c>
      <c r="I119" s="300"/>
      <c r="J119" s="295">
        <f t="shared" si="10"/>
        <v>0</v>
      </c>
      <c r="K119" s="279">
        <f t="shared" si="11"/>
        <v>0</v>
      </c>
    </row>
    <row r="120" spans="1:11" x14ac:dyDescent="0.35">
      <c r="A120" s="384">
        <v>18</v>
      </c>
      <c r="B120" s="17" t="s">
        <v>436</v>
      </c>
      <c r="C120" s="18" t="s">
        <v>13</v>
      </c>
      <c r="D120" s="148">
        <f>D16</f>
        <v>100</v>
      </c>
      <c r="E120" s="142"/>
      <c r="F120" s="5">
        <f t="shared" si="12"/>
        <v>0</v>
      </c>
      <c r="G120" s="142"/>
      <c r="H120" s="142">
        <f t="shared" si="9"/>
        <v>0</v>
      </c>
      <c r="I120" s="142"/>
      <c r="J120" s="10">
        <f t="shared" si="10"/>
        <v>0</v>
      </c>
      <c r="K120" s="142">
        <f t="shared" si="11"/>
        <v>0</v>
      </c>
    </row>
    <row r="121" spans="1:11" x14ac:dyDescent="0.35">
      <c r="A121" s="354"/>
      <c r="B121" s="13" t="s">
        <v>55</v>
      </c>
      <c r="C121" s="2" t="s">
        <v>13</v>
      </c>
      <c r="D121" s="5">
        <f>D120</f>
        <v>100</v>
      </c>
      <c r="E121" s="142"/>
      <c r="F121" s="5">
        <f t="shared" si="12"/>
        <v>0</v>
      </c>
      <c r="G121" s="142"/>
      <c r="H121" s="142">
        <f t="shared" si="9"/>
        <v>0</v>
      </c>
      <c r="I121" s="142"/>
      <c r="J121" s="10">
        <f t="shared" si="10"/>
        <v>0</v>
      </c>
      <c r="K121" s="142">
        <f t="shared" si="11"/>
        <v>0</v>
      </c>
    </row>
    <row r="122" spans="1:11" x14ac:dyDescent="0.35">
      <c r="A122" s="354"/>
      <c r="B122" s="13" t="s">
        <v>38</v>
      </c>
      <c r="C122" s="2" t="s">
        <v>1</v>
      </c>
      <c r="D122" s="5">
        <f>D120*0.03</f>
        <v>3</v>
      </c>
      <c r="E122" s="142"/>
      <c r="F122" s="5">
        <f t="shared" si="12"/>
        <v>0</v>
      </c>
      <c r="G122" s="142"/>
      <c r="H122" s="142">
        <f t="shared" si="9"/>
        <v>0</v>
      </c>
      <c r="I122" s="142"/>
      <c r="J122" s="10">
        <f t="shared" si="10"/>
        <v>0</v>
      </c>
      <c r="K122" s="142">
        <f t="shared" si="11"/>
        <v>0</v>
      </c>
    </row>
    <row r="123" spans="1:11" x14ac:dyDescent="0.35">
      <c r="A123" s="355"/>
      <c r="B123" s="13" t="s">
        <v>275</v>
      </c>
      <c r="C123" s="2" t="s">
        <v>13</v>
      </c>
      <c r="D123" s="5">
        <f>D120-D120*8%</f>
        <v>92</v>
      </c>
      <c r="E123" s="142"/>
      <c r="F123" s="5">
        <f t="shared" si="12"/>
        <v>0</v>
      </c>
      <c r="G123" s="142"/>
      <c r="H123" s="142">
        <f t="shared" si="9"/>
        <v>0</v>
      </c>
      <c r="I123" s="142"/>
      <c r="J123" s="10">
        <f t="shared" si="10"/>
        <v>0</v>
      </c>
      <c r="K123" s="142">
        <f t="shared" si="11"/>
        <v>0</v>
      </c>
    </row>
    <row r="124" spans="1:11" ht="40.5" x14ac:dyDescent="0.35">
      <c r="A124" s="384">
        <v>19</v>
      </c>
      <c r="B124" s="125" t="s">
        <v>437</v>
      </c>
      <c r="C124" s="18" t="s">
        <v>13</v>
      </c>
      <c r="D124" s="148">
        <f>D51</f>
        <v>169.32</v>
      </c>
      <c r="E124" s="142"/>
      <c r="F124" s="5">
        <f t="shared" si="12"/>
        <v>0</v>
      </c>
      <c r="G124" s="142"/>
      <c r="H124" s="142">
        <f t="shared" si="9"/>
        <v>0</v>
      </c>
      <c r="I124" s="142"/>
      <c r="J124" s="10">
        <f t="shared" si="10"/>
        <v>0</v>
      </c>
      <c r="K124" s="142">
        <f t="shared" si="11"/>
        <v>0</v>
      </c>
    </row>
    <row r="125" spans="1:11" x14ac:dyDescent="0.35">
      <c r="A125" s="354"/>
      <c r="B125" s="13" t="s">
        <v>55</v>
      </c>
      <c r="C125" s="2" t="s">
        <v>13</v>
      </c>
      <c r="D125" s="5">
        <f>D124</f>
        <v>169.32</v>
      </c>
      <c r="E125" s="142"/>
      <c r="F125" s="5">
        <f t="shared" si="12"/>
        <v>0</v>
      </c>
      <c r="G125" s="142"/>
      <c r="H125" s="142">
        <f t="shared" si="9"/>
        <v>0</v>
      </c>
      <c r="I125" s="142"/>
      <c r="J125" s="10">
        <f t="shared" si="10"/>
        <v>0</v>
      </c>
      <c r="K125" s="142">
        <f t="shared" si="11"/>
        <v>0</v>
      </c>
    </row>
    <row r="126" spans="1:11" x14ac:dyDescent="0.35">
      <c r="A126" s="354"/>
      <c r="B126" s="13" t="s">
        <v>38</v>
      </c>
      <c r="C126" s="2" t="s">
        <v>1</v>
      </c>
      <c r="D126" s="142">
        <f>D124*0.03</f>
        <v>5.0795999999999992</v>
      </c>
      <c r="E126" s="142"/>
      <c r="F126" s="5">
        <f t="shared" si="12"/>
        <v>0</v>
      </c>
      <c r="G126" s="142"/>
      <c r="H126" s="142">
        <f t="shared" si="9"/>
        <v>0</v>
      </c>
      <c r="I126" s="142"/>
      <c r="J126" s="10">
        <f t="shared" si="10"/>
        <v>0</v>
      </c>
      <c r="K126" s="142">
        <f t="shared" si="11"/>
        <v>0</v>
      </c>
    </row>
    <row r="127" spans="1:11" ht="27" x14ac:dyDescent="0.35">
      <c r="A127" s="355"/>
      <c r="B127" s="13" t="s">
        <v>56</v>
      </c>
      <c r="C127" s="2" t="s">
        <v>13</v>
      </c>
      <c r="D127" s="5">
        <f>D124-D124*8%</f>
        <v>155.77439999999999</v>
      </c>
      <c r="E127" s="142"/>
      <c r="F127" s="5">
        <f t="shared" si="12"/>
        <v>0</v>
      </c>
      <c r="G127" s="142"/>
      <c r="H127" s="142">
        <f t="shared" si="9"/>
        <v>0</v>
      </c>
      <c r="I127" s="142"/>
      <c r="J127" s="10">
        <f t="shared" si="10"/>
        <v>0</v>
      </c>
      <c r="K127" s="142">
        <f t="shared" si="11"/>
        <v>0</v>
      </c>
    </row>
    <row r="128" spans="1:11" x14ac:dyDescent="0.35">
      <c r="A128" s="297"/>
      <c r="B128" s="298" t="s">
        <v>276</v>
      </c>
      <c r="C128" s="299"/>
      <c r="D128" s="300"/>
      <c r="E128" s="300"/>
      <c r="F128" s="279">
        <f t="shared" si="12"/>
        <v>0</v>
      </c>
      <c r="G128" s="300"/>
      <c r="H128" s="279">
        <f t="shared" si="9"/>
        <v>0</v>
      </c>
      <c r="I128" s="300"/>
      <c r="J128" s="295">
        <f t="shared" si="10"/>
        <v>0</v>
      </c>
      <c r="K128" s="279">
        <f t="shared" si="11"/>
        <v>0</v>
      </c>
    </row>
    <row r="129" spans="1:11" ht="40.5" x14ac:dyDescent="0.35">
      <c r="A129" s="2">
        <v>20</v>
      </c>
      <c r="B129" s="125" t="s">
        <v>438</v>
      </c>
      <c r="C129" s="18" t="s">
        <v>13</v>
      </c>
      <c r="D129" s="148">
        <f>1.1*2*32</f>
        <v>70.400000000000006</v>
      </c>
      <c r="E129" s="5"/>
      <c r="F129" s="5">
        <f t="shared" si="12"/>
        <v>0</v>
      </c>
      <c r="G129" s="142"/>
      <c r="H129" s="142">
        <f t="shared" si="9"/>
        <v>0</v>
      </c>
      <c r="I129" s="142"/>
      <c r="J129" s="10">
        <f t="shared" si="10"/>
        <v>0</v>
      </c>
      <c r="K129" s="142">
        <f t="shared" si="11"/>
        <v>0</v>
      </c>
    </row>
    <row r="130" spans="1:11" ht="40.5" x14ac:dyDescent="0.35">
      <c r="A130" s="2">
        <v>21</v>
      </c>
      <c r="B130" s="125" t="s">
        <v>439</v>
      </c>
      <c r="C130" s="18" t="s">
        <v>13</v>
      </c>
      <c r="D130" s="148">
        <f>1.45*2*6</f>
        <v>17.399999999999999</v>
      </c>
      <c r="E130" s="5"/>
      <c r="F130" s="5">
        <f t="shared" si="12"/>
        <v>0</v>
      </c>
      <c r="G130" s="142"/>
      <c r="H130" s="142">
        <f t="shared" si="9"/>
        <v>0</v>
      </c>
      <c r="I130" s="142"/>
      <c r="J130" s="10">
        <f t="shared" si="10"/>
        <v>0</v>
      </c>
      <c r="K130" s="142">
        <f t="shared" si="11"/>
        <v>0</v>
      </c>
    </row>
    <row r="131" spans="1:11" ht="40.5" x14ac:dyDescent="0.35">
      <c r="A131" s="153">
        <v>22</v>
      </c>
      <c r="B131" s="125" t="s">
        <v>440</v>
      </c>
      <c r="C131" s="18" t="s">
        <v>13</v>
      </c>
      <c r="D131" s="148">
        <f>1.1*2*8</f>
        <v>17.600000000000001</v>
      </c>
      <c r="E131" s="5"/>
      <c r="F131" s="5">
        <f t="shared" si="12"/>
        <v>0</v>
      </c>
      <c r="G131" s="142"/>
      <c r="H131" s="142">
        <f t="shared" si="9"/>
        <v>0</v>
      </c>
      <c r="I131" s="142"/>
      <c r="J131" s="10">
        <f t="shared" si="10"/>
        <v>0</v>
      </c>
      <c r="K131" s="142">
        <f t="shared" si="11"/>
        <v>0</v>
      </c>
    </row>
    <row r="132" spans="1:11" ht="40.5" x14ac:dyDescent="0.35">
      <c r="A132" s="154">
        <v>23</v>
      </c>
      <c r="B132" s="155" t="s">
        <v>441</v>
      </c>
      <c r="C132" s="18" t="s">
        <v>13</v>
      </c>
      <c r="D132" s="156">
        <f>1.2*2*16</f>
        <v>38.4</v>
      </c>
      <c r="E132" s="91"/>
      <c r="F132" s="5">
        <f t="shared" si="12"/>
        <v>0</v>
      </c>
      <c r="G132" s="91"/>
      <c r="H132" s="142">
        <f t="shared" si="9"/>
        <v>0</v>
      </c>
      <c r="I132" s="91"/>
      <c r="J132" s="10">
        <f t="shared" si="10"/>
        <v>0</v>
      </c>
      <c r="K132" s="142">
        <f t="shared" si="11"/>
        <v>0</v>
      </c>
    </row>
    <row r="133" spans="1:11" ht="40.5" x14ac:dyDescent="0.35">
      <c r="A133" s="384">
        <v>24</v>
      </c>
      <c r="B133" s="155" t="s">
        <v>442</v>
      </c>
      <c r="C133" s="18" t="s">
        <v>13</v>
      </c>
      <c r="D133" s="156">
        <f>0.85*2.1*15+1*2.1</f>
        <v>28.875</v>
      </c>
      <c r="E133" s="91"/>
      <c r="F133" s="5">
        <f t="shared" si="12"/>
        <v>0</v>
      </c>
      <c r="G133" s="91"/>
      <c r="H133" s="142">
        <f t="shared" si="9"/>
        <v>0</v>
      </c>
      <c r="I133" s="91"/>
      <c r="J133" s="10">
        <f t="shared" si="10"/>
        <v>0</v>
      </c>
      <c r="K133" s="142">
        <f t="shared" si="11"/>
        <v>0</v>
      </c>
    </row>
    <row r="134" spans="1:11" x14ac:dyDescent="0.35">
      <c r="A134" s="354"/>
      <c r="B134" s="13" t="s">
        <v>277</v>
      </c>
      <c r="C134" s="2" t="s">
        <v>22</v>
      </c>
      <c r="D134" s="5">
        <v>60</v>
      </c>
      <c r="E134" s="5"/>
      <c r="F134" s="5">
        <f t="shared" si="12"/>
        <v>0</v>
      </c>
      <c r="G134" s="142"/>
      <c r="H134" s="142">
        <f t="shared" si="9"/>
        <v>0</v>
      </c>
      <c r="I134" s="142"/>
      <c r="J134" s="10">
        <f t="shared" si="10"/>
        <v>0</v>
      </c>
      <c r="K134" s="142">
        <f t="shared" si="11"/>
        <v>0</v>
      </c>
    </row>
    <row r="135" spans="1:11" x14ac:dyDescent="0.35">
      <c r="A135" s="354"/>
      <c r="B135" s="13" t="s">
        <v>196</v>
      </c>
      <c r="C135" s="2" t="s">
        <v>174</v>
      </c>
      <c r="D135" s="5">
        <v>7</v>
      </c>
      <c r="E135" s="5"/>
      <c r="F135" s="5">
        <f t="shared" si="12"/>
        <v>0</v>
      </c>
      <c r="G135" s="142"/>
      <c r="H135" s="142">
        <f t="shared" si="9"/>
        <v>0</v>
      </c>
      <c r="I135" s="142"/>
      <c r="J135" s="10">
        <f t="shared" si="10"/>
        <v>0</v>
      </c>
      <c r="K135" s="142">
        <f t="shared" si="11"/>
        <v>0</v>
      </c>
    </row>
    <row r="136" spans="1:11" x14ac:dyDescent="0.35">
      <c r="A136" s="355"/>
      <c r="B136" s="13" t="s">
        <v>38</v>
      </c>
      <c r="C136" s="2" t="s">
        <v>1</v>
      </c>
      <c r="D136" s="5">
        <f>D129*0.2+D130*0.2+D133*0.2</f>
        <v>23.335000000000001</v>
      </c>
      <c r="E136" s="5"/>
      <c r="F136" s="5">
        <f t="shared" si="12"/>
        <v>0</v>
      </c>
      <c r="G136" s="142"/>
      <c r="H136" s="142">
        <f t="shared" si="9"/>
        <v>0</v>
      </c>
      <c r="I136" s="142"/>
      <c r="J136" s="10">
        <f t="shared" si="10"/>
        <v>0</v>
      </c>
      <c r="K136" s="142">
        <f t="shared" si="11"/>
        <v>0</v>
      </c>
    </row>
    <row r="137" spans="1:11" ht="27" x14ac:dyDescent="0.35">
      <c r="A137" s="384">
        <v>25</v>
      </c>
      <c r="B137" s="17" t="s">
        <v>278</v>
      </c>
      <c r="C137" s="18" t="s">
        <v>22</v>
      </c>
      <c r="D137" s="148">
        <f>D32</f>
        <v>90</v>
      </c>
      <c r="E137" s="5"/>
      <c r="F137" s="5">
        <f t="shared" si="12"/>
        <v>0</v>
      </c>
      <c r="G137" s="142"/>
      <c r="H137" s="142">
        <f t="shared" si="9"/>
        <v>0</v>
      </c>
      <c r="I137" s="142"/>
      <c r="J137" s="10">
        <f t="shared" si="10"/>
        <v>0</v>
      </c>
      <c r="K137" s="142">
        <f t="shared" si="11"/>
        <v>0</v>
      </c>
    </row>
    <row r="138" spans="1:11" x14ac:dyDescent="0.35">
      <c r="A138" s="354"/>
      <c r="B138" s="13" t="s">
        <v>196</v>
      </c>
      <c r="C138" s="2" t="s">
        <v>174</v>
      </c>
      <c r="D138" s="5">
        <v>5</v>
      </c>
      <c r="E138" s="5"/>
      <c r="F138" s="5">
        <f t="shared" si="12"/>
        <v>0</v>
      </c>
      <c r="G138" s="142"/>
      <c r="H138" s="142">
        <f t="shared" si="9"/>
        <v>0</v>
      </c>
      <c r="I138" s="142"/>
      <c r="J138" s="10">
        <f t="shared" si="10"/>
        <v>0</v>
      </c>
      <c r="K138" s="142">
        <f t="shared" si="11"/>
        <v>0</v>
      </c>
    </row>
    <row r="139" spans="1:11" x14ac:dyDescent="0.35">
      <c r="A139" s="355"/>
      <c r="B139" s="13" t="s">
        <v>38</v>
      </c>
      <c r="C139" s="2" t="s">
        <v>1</v>
      </c>
      <c r="D139" s="7">
        <f>D137*0.1</f>
        <v>9</v>
      </c>
      <c r="E139" s="7"/>
      <c r="F139" s="5">
        <f t="shared" si="12"/>
        <v>0</v>
      </c>
      <c r="G139" s="7"/>
      <c r="H139" s="142">
        <f t="shared" si="9"/>
        <v>0</v>
      </c>
      <c r="I139" s="7"/>
      <c r="J139" s="10">
        <f t="shared" si="10"/>
        <v>0</v>
      </c>
      <c r="K139" s="142">
        <f t="shared" si="11"/>
        <v>0</v>
      </c>
    </row>
    <row r="140" spans="1:11" ht="40.5" x14ac:dyDescent="0.35">
      <c r="A140" s="144">
        <v>26</v>
      </c>
      <c r="B140" s="27" t="s">
        <v>79</v>
      </c>
      <c r="C140" s="28" t="s">
        <v>16</v>
      </c>
      <c r="D140" s="152">
        <v>47</v>
      </c>
      <c r="E140" s="7"/>
      <c r="F140" s="7">
        <f t="shared" si="12"/>
        <v>0</v>
      </c>
      <c r="G140" s="139"/>
      <c r="H140" s="142">
        <f t="shared" si="9"/>
        <v>0</v>
      </c>
      <c r="I140" s="139"/>
      <c r="J140" s="10">
        <f t="shared" si="10"/>
        <v>0</v>
      </c>
      <c r="K140" s="142">
        <f t="shared" si="11"/>
        <v>0</v>
      </c>
    </row>
    <row r="141" spans="1:11" x14ac:dyDescent="0.35">
      <c r="A141" s="311"/>
      <c r="B141" s="298" t="s">
        <v>135</v>
      </c>
      <c r="C141" s="312"/>
      <c r="D141" s="313"/>
      <c r="E141" s="279"/>
      <c r="F141" s="279">
        <f t="shared" si="12"/>
        <v>0</v>
      </c>
      <c r="G141" s="279"/>
      <c r="H141" s="279">
        <f t="shared" si="9"/>
        <v>0</v>
      </c>
      <c r="I141" s="279"/>
      <c r="J141" s="295">
        <f t="shared" si="10"/>
        <v>0</v>
      </c>
      <c r="K141" s="279">
        <f t="shared" si="11"/>
        <v>0</v>
      </c>
    </row>
    <row r="142" spans="1:11" ht="27" x14ac:dyDescent="0.35">
      <c r="A142" s="2">
        <v>27</v>
      </c>
      <c r="B142" s="23" t="s">
        <v>57</v>
      </c>
      <c r="C142" s="2" t="s">
        <v>20</v>
      </c>
      <c r="D142" s="5">
        <v>29</v>
      </c>
      <c r="E142" s="5"/>
      <c r="F142" s="5">
        <f t="shared" si="12"/>
        <v>0</v>
      </c>
      <c r="G142" s="142"/>
      <c r="H142" s="142">
        <f t="shared" si="9"/>
        <v>0</v>
      </c>
      <c r="I142" s="142"/>
      <c r="J142" s="10">
        <f t="shared" si="10"/>
        <v>0</v>
      </c>
      <c r="K142" s="142">
        <f t="shared" si="11"/>
        <v>0</v>
      </c>
    </row>
    <row r="143" spans="1:11" ht="27" x14ac:dyDescent="0.35">
      <c r="A143" s="2">
        <v>28</v>
      </c>
      <c r="B143" s="23" t="s">
        <v>279</v>
      </c>
      <c r="C143" s="2" t="s">
        <v>20</v>
      </c>
      <c r="D143" s="5">
        <v>1</v>
      </c>
      <c r="E143" s="5"/>
      <c r="F143" s="5">
        <f t="shared" si="12"/>
        <v>0</v>
      </c>
      <c r="G143" s="142"/>
      <c r="H143" s="142">
        <f t="shared" si="9"/>
        <v>0</v>
      </c>
      <c r="I143" s="142"/>
      <c r="J143" s="10">
        <f t="shared" si="10"/>
        <v>0</v>
      </c>
      <c r="K143" s="142">
        <f t="shared" si="11"/>
        <v>0</v>
      </c>
    </row>
    <row r="144" spans="1:11" x14ac:dyDescent="0.35">
      <c r="A144" s="2">
        <v>29</v>
      </c>
      <c r="B144" s="74" t="s">
        <v>138</v>
      </c>
      <c r="C144" s="2" t="s">
        <v>20</v>
      </c>
      <c r="D144" s="5">
        <v>26</v>
      </c>
      <c r="E144" s="5"/>
      <c r="F144" s="5">
        <f t="shared" si="12"/>
        <v>0</v>
      </c>
      <c r="G144" s="142"/>
      <c r="H144" s="142">
        <f t="shared" si="9"/>
        <v>0</v>
      </c>
      <c r="I144" s="142"/>
      <c r="J144" s="10">
        <f t="shared" si="10"/>
        <v>0</v>
      </c>
      <c r="K144" s="142">
        <f t="shared" si="11"/>
        <v>0</v>
      </c>
    </row>
    <row r="145" spans="1:11" x14ac:dyDescent="0.35">
      <c r="A145" s="2">
        <v>30</v>
      </c>
      <c r="B145" s="13" t="s">
        <v>280</v>
      </c>
      <c r="C145" s="2" t="s">
        <v>20</v>
      </c>
      <c r="D145" s="5">
        <v>24</v>
      </c>
      <c r="E145" s="5"/>
      <c r="F145" s="5">
        <f t="shared" si="12"/>
        <v>0</v>
      </c>
      <c r="G145" s="142"/>
      <c r="H145" s="142">
        <f t="shared" si="9"/>
        <v>0</v>
      </c>
      <c r="I145" s="142"/>
      <c r="J145" s="10">
        <f t="shared" si="10"/>
        <v>0</v>
      </c>
      <c r="K145" s="142">
        <f t="shared" si="11"/>
        <v>0</v>
      </c>
    </row>
    <row r="146" spans="1:11" ht="40.5" x14ac:dyDescent="0.35">
      <c r="A146" s="2">
        <v>31</v>
      </c>
      <c r="B146" s="23" t="s">
        <v>443</v>
      </c>
      <c r="C146" s="6" t="s">
        <v>20</v>
      </c>
      <c r="D146" s="5">
        <v>1</v>
      </c>
      <c r="E146" s="5"/>
      <c r="F146" s="5">
        <f t="shared" si="12"/>
        <v>0</v>
      </c>
      <c r="G146" s="142"/>
      <c r="H146" s="142">
        <f t="shared" si="9"/>
        <v>0</v>
      </c>
      <c r="I146" s="142"/>
      <c r="J146" s="10">
        <f t="shared" si="10"/>
        <v>0</v>
      </c>
      <c r="K146" s="142">
        <f t="shared" si="11"/>
        <v>0</v>
      </c>
    </row>
    <row r="147" spans="1:11" ht="40.5" x14ac:dyDescent="0.35">
      <c r="A147" s="2">
        <v>32</v>
      </c>
      <c r="B147" s="23" t="s">
        <v>444</v>
      </c>
      <c r="C147" s="6" t="s">
        <v>20</v>
      </c>
      <c r="D147" s="5">
        <v>1</v>
      </c>
      <c r="E147" s="5"/>
      <c r="F147" s="5">
        <f t="shared" si="12"/>
        <v>0</v>
      </c>
      <c r="G147" s="142"/>
      <c r="H147" s="142">
        <f t="shared" si="9"/>
        <v>0</v>
      </c>
      <c r="I147" s="142"/>
      <c r="J147" s="10">
        <f t="shared" si="10"/>
        <v>0</v>
      </c>
      <c r="K147" s="142">
        <f t="shared" si="11"/>
        <v>0</v>
      </c>
    </row>
    <row r="148" spans="1:11" x14ac:dyDescent="0.35">
      <c r="A148" s="2">
        <v>33</v>
      </c>
      <c r="B148" s="13" t="s">
        <v>204</v>
      </c>
      <c r="C148" s="2" t="s">
        <v>174</v>
      </c>
      <c r="D148" s="5">
        <v>34</v>
      </c>
      <c r="E148" s="5"/>
      <c r="F148" s="5">
        <f t="shared" si="12"/>
        <v>0</v>
      </c>
      <c r="G148" s="142"/>
      <c r="H148" s="142">
        <f t="shared" si="9"/>
        <v>0</v>
      </c>
      <c r="I148" s="142"/>
      <c r="J148" s="10">
        <f t="shared" si="10"/>
        <v>0</v>
      </c>
      <c r="K148" s="142">
        <f t="shared" si="11"/>
        <v>0</v>
      </c>
    </row>
    <row r="149" spans="1:11" x14ac:dyDescent="0.35">
      <c r="A149" s="395">
        <v>34</v>
      </c>
      <c r="B149" s="13" t="s">
        <v>445</v>
      </c>
      <c r="C149" s="2" t="s">
        <v>207</v>
      </c>
      <c r="D149" s="5">
        <v>102</v>
      </c>
      <c r="E149" s="5"/>
      <c r="F149" s="5">
        <f t="shared" si="12"/>
        <v>0</v>
      </c>
      <c r="G149" s="142"/>
      <c r="H149" s="142">
        <f t="shared" si="9"/>
        <v>0</v>
      </c>
      <c r="I149" s="142"/>
      <c r="J149" s="10">
        <f t="shared" si="10"/>
        <v>0</v>
      </c>
      <c r="K149" s="142">
        <f t="shared" si="11"/>
        <v>0</v>
      </c>
    </row>
    <row r="150" spans="1:11" x14ac:dyDescent="0.35">
      <c r="A150" s="396"/>
      <c r="B150" s="23" t="s">
        <v>446</v>
      </c>
      <c r="C150" s="6" t="s">
        <v>174</v>
      </c>
      <c r="D150" s="5">
        <f>16+16+16+16+16</f>
        <v>80</v>
      </c>
      <c r="E150" s="5"/>
      <c r="F150" s="5">
        <f t="shared" si="12"/>
        <v>0</v>
      </c>
      <c r="G150" s="142"/>
      <c r="H150" s="142">
        <f t="shared" si="9"/>
        <v>0</v>
      </c>
      <c r="I150" s="142"/>
      <c r="J150" s="10"/>
      <c r="K150" s="142">
        <f t="shared" si="11"/>
        <v>0</v>
      </c>
    </row>
    <row r="151" spans="1:11" ht="27" x14ac:dyDescent="0.35">
      <c r="A151" s="2">
        <v>35</v>
      </c>
      <c r="B151" s="23" t="s">
        <v>447</v>
      </c>
      <c r="C151" s="6" t="s">
        <v>174</v>
      </c>
      <c r="D151" s="5">
        <v>9</v>
      </c>
      <c r="E151" s="5"/>
      <c r="F151" s="5"/>
      <c r="G151" s="142"/>
      <c r="H151" s="142">
        <f>G151*D151</f>
        <v>0</v>
      </c>
      <c r="I151" s="142"/>
      <c r="J151" s="10">
        <f>I151*D151</f>
        <v>0</v>
      </c>
      <c r="K151" s="142">
        <f t="shared" si="11"/>
        <v>0</v>
      </c>
    </row>
    <row r="152" spans="1:11" ht="67.5" x14ac:dyDescent="0.35">
      <c r="A152" s="395">
        <v>36</v>
      </c>
      <c r="B152" s="23" t="s">
        <v>448</v>
      </c>
      <c r="C152" s="6" t="s">
        <v>207</v>
      </c>
      <c r="D152" s="5">
        <f>32+12+16*1.5+4</f>
        <v>72</v>
      </c>
      <c r="E152" s="5"/>
      <c r="F152" s="5">
        <f t="shared" ref="F152" si="13">E152*D152</f>
        <v>0</v>
      </c>
      <c r="G152" s="142"/>
      <c r="H152" s="142">
        <f t="shared" ref="H152:H154" si="14">G152*D152</f>
        <v>0</v>
      </c>
      <c r="I152" s="142"/>
      <c r="J152" s="10">
        <f t="shared" ref="J152" si="15">I152*D152</f>
        <v>0</v>
      </c>
      <c r="K152" s="142">
        <f t="shared" si="11"/>
        <v>0</v>
      </c>
    </row>
    <row r="153" spans="1:11" x14ac:dyDescent="0.35">
      <c r="A153" s="396"/>
      <c r="B153" s="23" t="s">
        <v>449</v>
      </c>
      <c r="C153" s="6" t="s">
        <v>174</v>
      </c>
      <c r="D153" s="5">
        <f>9+9+16+16</f>
        <v>50</v>
      </c>
      <c r="E153" s="5"/>
      <c r="F153" s="5">
        <f t="shared" si="12"/>
        <v>0</v>
      </c>
      <c r="G153" s="142"/>
      <c r="H153" s="142">
        <f t="shared" si="14"/>
        <v>0</v>
      </c>
      <c r="I153" s="142"/>
      <c r="J153" s="10"/>
      <c r="K153" s="142">
        <f t="shared" si="11"/>
        <v>0</v>
      </c>
    </row>
    <row r="154" spans="1:11" ht="54" x14ac:dyDescent="0.35">
      <c r="A154" s="26">
        <v>37</v>
      </c>
      <c r="B154" s="23" t="s">
        <v>450</v>
      </c>
      <c r="C154" s="6" t="s">
        <v>207</v>
      </c>
      <c r="D154" s="5">
        <v>142</v>
      </c>
      <c r="E154" s="5"/>
      <c r="F154" s="5">
        <f t="shared" si="12"/>
        <v>0</v>
      </c>
      <c r="G154" s="142"/>
      <c r="H154" s="142">
        <f t="shared" si="14"/>
        <v>0</v>
      </c>
      <c r="I154" s="142"/>
      <c r="J154" s="10">
        <f t="shared" ref="J154" si="16">I154*D154</f>
        <v>0</v>
      </c>
      <c r="K154" s="142">
        <f t="shared" si="11"/>
        <v>0</v>
      </c>
    </row>
    <row r="155" spans="1:11" ht="27" x14ac:dyDescent="0.35">
      <c r="A155" s="395">
        <v>38</v>
      </c>
      <c r="B155" s="13" t="s">
        <v>451</v>
      </c>
      <c r="C155" s="2" t="s">
        <v>207</v>
      </c>
      <c r="D155" s="5">
        <v>100</v>
      </c>
      <c r="E155" s="5"/>
      <c r="F155" s="5">
        <f t="shared" si="12"/>
        <v>0</v>
      </c>
      <c r="G155" s="142"/>
      <c r="H155" s="142">
        <f t="shared" si="9"/>
        <v>0</v>
      </c>
      <c r="I155" s="142"/>
      <c r="J155" s="10">
        <f t="shared" si="10"/>
        <v>0</v>
      </c>
      <c r="K155" s="142">
        <f t="shared" si="11"/>
        <v>0</v>
      </c>
    </row>
    <row r="156" spans="1:11" x14ac:dyDescent="0.35">
      <c r="A156" s="397"/>
      <c r="B156" s="23" t="s">
        <v>452</v>
      </c>
      <c r="C156" s="6" t="s">
        <v>174</v>
      </c>
      <c r="D156" s="5">
        <v>48</v>
      </c>
      <c r="E156" s="5"/>
      <c r="F156" s="5">
        <f t="shared" si="12"/>
        <v>0</v>
      </c>
      <c r="G156" s="142"/>
      <c r="H156" s="142"/>
      <c r="I156" s="142"/>
      <c r="J156" s="10"/>
      <c r="K156" s="142">
        <f t="shared" si="11"/>
        <v>0</v>
      </c>
    </row>
    <row r="157" spans="1:11" x14ac:dyDescent="0.35">
      <c r="A157" s="396"/>
      <c r="B157" s="23" t="s">
        <v>453</v>
      </c>
      <c r="C157" s="6" t="s">
        <v>174</v>
      </c>
      <c r="D157" s="5">
        <v>96</v>
      </c>
      <c r="E157" s="5"/>
      <c r="F157" s="5">
        <f t="shared" si="12"/>
        <v>0</v>
      </c>
      <c r="G157" s="142"/>
      <c r="H157" s="142"/>
      <c r="I157" s="142"/>
      <c r="J157" s="10"/>
      <c r="K157" s="142">
        <f t="shared" si="11"/>
        <v>0</v>
      </c>
    </row>
    <row r="158" spans="1:11" x14ac:dyDescent="0.35">
      <c r="A158" s="2">
        <v>39</v>
      </c>
      <c r="B158" s="13" t="s">
        <v>213</v>
      </c>
      <c r="C158" s="2" t="s">
        <v>174</v>
      </c>
      <c r="D158" s="5">
        <v>41</v>
      </c>
      <c r="E158" s="5"/>
      <c r="F158" s="5">
        <f t="shared" si="12"/>
        <v>0</v>
      </c>
      <c r="G158" s="142"/>
      <c r="H158" s="142">
        <f t="shared" si="9"/>
        <v>0</v>
      </c>
      <c r="I158" s="142"/>
      <c r="J158" s="10">
        <f t="shared" si="10"/>
        <v>0</v>
      </c>
      <c r="K158" s="142">
        <f t="shared" si="11"/>
        <v>0</v>
      </c>
    </row>
    <row r="159" spans="1:11" x14ac:dyDescent="0.35">
      <c r="A159" s="70"/>
      <c r="B159" s="23" t="s">
        <v>38</v>
      </c>
      <c r="C159" s="2" t="s">
        <v>1</v>
      </c>
      <c r="D159" s="142">
        <f>(F142+F143+F144+F145+F148+F149+F153+F155+F158)*0.01</f>
        <v>0</v>
      </c>
      <c r="E159" s="5"/>
      <c r="F159" s="5">
        <f t="shared" si="12"/>
        <v>0</v>
      </c>
      <c r="G159" s="142"/>
      <c r="H159" s="142">
        <f t="shared" si="9"/>
        <v>0</v>
      </c>
      <c r="I159" s="142"/>
      <c r="J159" s="10">
        <f t="shared" si="10"/>
        <v>0</v>
      </c>
      <c r="K159" s="142">
        <f t="shared" si="11"/>
        <v>0</v>
      </c>
    </row>
    <row r="160" spans="1:11" x14ac:dyDescent="0.35">
      <c r="A160" s="292"/>
      <c r="B160" s="286" t="s">
        <v>281</v>
      </c>
      <c r="C160" s="293"/>
      <c r="D160" s="294"/>
      <c r="E160" s="289"/>
      <c r="F160" s="279">
        <f t="shared" si="12"/>
        <v>0</v>
      </c>
      <c r="G160" s="289"/>
      <c r="H160" s="279">
        <f t="shared" si="9"/>
        <v>0</v>
      </c>
      <c r="I160" s="289"/>
      <c r="J160" s="295">
        <f t="shared" si="10"/>
        <v>0</v>
      </c>
      <c r="K160" s="279">
        <f t="shared" si="11"/>
        <v>0</v>
      </c>
    </row>
    <row r="161" spans="1:11" x14ac:dyDescent="0.35">
      <c r="A161" s="47">
        <v>40</v>
      </c>
      <c r="B161" s="87" t="s">
        <v>454</v>
      </c>
      <c r="C161" s="6" t="s">
        <v>16</v>
      </c>
      <c r="D161" s="7">
        <v>130</v>
      </c>
      <c r="E161" s="197"/>
      <c r="F161" s="5">
        <f t="shared" si="12"/>
        <v>0</v>
      </c>
      <c r="G161" s="7"/>
      <c r="H161" s="142">
        <f t="shared" si="9"/>
        <v>0</v>
      </c>
      <c r="I161" s="7"/>
      <c r="J161" s="10">
        <f t="shared" si="10"/>
        <v>0</v>
      </c>
      <c r="K161" s="142">
        <f t="shared" si="11"/>
        <v>0</v>
      </c>
    </row>
    <row r="162" spans="1:11" ht="27" x14ac:dyDescent="0.35">
      <c r="A162" s="47">
        <v>41</v>
      </c>
      <c r="B162" s="25" t="s">
        <v>455</v>
      </c>
      <c r="C162" s="2" t="s">
        <v>16</v>
      </c>
      <c r="D162" s="7">
        <v>44</v>
      </c>
      <c r="E162" s="7"/>
      <c r="F162" s="5">
        <f t="shared" si="12"/>
        <v>0</v>
      </c>
      <c r="G162" s="7"/>
      <c r="H162" s="142">
        <f t="shared" si="9"/>
        <v>0</v>
      </c>
      <c r="I162" s="7"/>
      <c r="J162" s="10">
        <f t="shared" si="10"/>
        <v>0</v>
      </c>
      <c r="K162" s="142">
        <f t="shared" si="11"/>
        <v>0</v>
      </c>
    </row>
    <row r="163" spans="1:11" x14ac:dyDescent="0.35">
      <c r="A163" s="47">
        <v>42</v>
      </c>
      <c r="B163" s="25" t="s">
        <v>84</v>
      </c>
      <c r="C163" s="2" t="s">
        <v>16</v>
      </c>
      <c r="D163" s="7">
        <v>132</v>
      </c>
      <c r="E163" s="7"/>
      <c r="F163" s="5">
        <f t="shared" si="12"/>
        <v>0</v>
      </c>
      <c r="G163" s="7"/>
      <c r="H163" s="142">
        <f t="shared" ref="H163:H180" si="17">G163*D163</f>
        <v>0</v>
      </c>
      <c r="I163" s="7"/>
      <c r="J163" s="10">
        <f t="shared" ref="J163:J180" si="18">I163*D163</f>
        <v>0</v>
      </c>
      <c r="K163" s="142">
        <f t="shared" ref="K163:K180" si="19">J163+H163+F163</f>
        <v>0</v>
      </c>
    </row>
    <row r="164" spans="1:11" x14ac:dyDescent="0.35">
      <c r="A164" s="47">
        <v>43</v>
      </c>
      <c r="B164" s="25" t="s">
        <v>86</v>
      </c>
      <c r="C164" s="2" t="s">
        <v>16</v>
      </c>
      <c r="D164" s="7">
        <v>74</v>
      </c>
      <c r="E164" s="7"/>
      <c r="F164" s="5">
        <f t="shared" si="12"/>
        <v>0</v>
      </c>
      <c r="G164" s="7"/>
      <c r="H164" s="142">
        <f t="shared" si="17"/>
        <v>0</v>
      </c>
      <c r="I164" s="7"/>
      <c r="J164" s="10">
        <f t="shared" si="18"/>
        <v>0</v>
      </c>
      <c r="K164" s="142">
        <f t="shared" si="19"/>
        <v>0</v>
      </c>
    </row>
    <row r="165" spans="1:11" ht="27" x14ac:dyDescent="0.35">
      <c r="A165" s="47">
        <v>44</v>
      </c>
      <c r="B165" s="25" t="s">
        <v>220</v>
      </c>
      <c r="C165" s="2" t="s">
        <v>207</v>
      </c>
      <c r="D165" s="7">
        <v>134</v>
      </c>
      <c r="E165" s="7"/>
      <c r="F165" s="5">
        <f t="shared" si="12"/>
        <v>0</v>
      </c>
      <c r="G165" s="7"/>
      <c r="H165" s="142">
        <f t="shared" si="17"/>
        <v>0</v>
      </c>
      <c r="I165" s="7"/>
      <c r="J165" s="10">
        <f t="shared" si="18"/>
        <v>0</v>
      </c>
      <c r="K165" s="142">
        <f t="shared" si="19"/>
        <v>0</v>
      </c>
    </row>
    <row r="166" spans="1:11" x14ac:dyDescent="0.35">
      <c r="A166" s="47">
        <v>45</v>
      </c>
      <c r="B166" s="25" t="s">
        <v>221</v>
      </c>
      <c r="C166" s="2" t="s">
        <v>207</v>
      </c>
      <c r="D166" s="7">
        <v>56</v>
      </c>
      <c r="E166" s="7"/>
      <c r="F166" s="5">
        <f t="shared" si="12"/>
        <v>0</v>
      </c>
      <c r="G166" s="7"/>
      <c r="H166" s="142">
        <f t="shared" si="17"/>
        <v>0</v>
      </c>
      <c r="I166" s="7"/>
      <c r="J166" s="10">
        <f t="shared" si="18"/>
        <v>0</v>
      </c>
      <c r="K166" s="142">
        <f t="shared" si="19"/>
        <v>0</v>
      </c>
    </row>
    <row r="167" spans="1:11" x14ac:dyDescent="0.35">
      <c r="A167" s="47">
        <v>46</v>
      </c>
      <c r="B167" s="25" t="s">
        <v>217</v>
      </c>
      <c r="C167" s="2" t="s">
        <v>16</v>
      </c>
      <c r="D167" s="7">
        <v>252</v>
      </c>
      <c r="E167" s="7"/>
      <c r="F167" s="5">
        <f t="shared" si="12"/>
        <v>0</v>
      </c>
      <c r="G167" s="7"/>
      <c r="H167" s="142">
        <f t="shared" si="17"/>
        <v>0</v>
      </c>
      <c r="I167" s="7"/>
      <c r="J167" s="10">
        <f t="shared" si="18"/>
        <v>0</v>
      </c>
      <c r="K167" s="142">
        <f t="shared" si="19"/>
        <v>0</v>
      </c>
    </row>
    <row r="168" spans="1:11" ht="27" x14ac:dyDescent="0.35">
      <c r="A168" s="47">
        <v>47</v>
      </c>
      <c r="B168" s="25" t="s">
        <v>218</v>
      </c>
      <c r="C168" s="2" t="s">
        <v>20</v>
      </c>
      <c r="D168" s="7">
        <v>5</v>
      </c>
      <c r="E168" s="7"/>
      <c r="F168" s="5">
        <f t="shared" si="12"/>
        <v>0</v>
      </c>
      <c r="G168" s="7"/>
      <c r="H168" s="142">
        <f t="shared" si="17"/>
        <v>0</v>
      </c>
      <c r="I168" s="7"/>
      <c r="J168" s="10">
        <f t="shared" si="18"/>
        <v>0</v>
      </c>
      <c r="K168" s="142">
        <f t="shared" si="19"/>
        <v>0</v>
      </c>
    </row>
    <row r="169" spans="1:11" x14ac:dyDescent="0.35">
      <c r="A169" s="383">
        <v>48</v>
      </c>
      <c r="B169" s="25" t="s">
        <v>222</v>
      </c>
      <c r="C169" s="2" t="s">
        <v>207</v>
      </c>
      <c r="D169" s="7">
        <v>144</v>
      </c>
      <c r="E169" s="7"/>
      <c r="F169" s="5">
        <f t="shared" si="12"/>
        <v>0</v>
      </c>
      <c r="G169" s="7"/>
      <c r="H169" s="142">
        <f t="shared" si="17"/>
        <v>0</v>
      </c>
      <c r="I169" s="7"/>
      <c r="J169" s="10">
        <f t="shared" si="18"/>
        <v>0</v>
      </c>
      <c r="K169" s="142">
        <f t="shared" si="19"/>
        <v>0</v>
      </c>
    </row>
    <row r="170" spans="1:11" x14ac:dyDescent="0.35">
      <c r="A170" s="398"/>
      <c r="B170" s="25" t="s">
        <v>38</v>
      </c>
      <c r="C170" s="2" t="s">
        <v>1</v>
      </c>
      <c r="D170" s="7">
        <f>SUM(D161:D169)*0.1</f>
        <v>97.100000000000009</v>
      </c>
      <c r="E170" s="7"/>
      <c r="F170" s="5">
        <f t="shared" si="12"/>
        <v>0</v>
      </c>
      <c r="G170" s="7"/>
      <c r="H170" s="142">
        <f t="shared" si="17"/>
        <v>0</v>
      </c>
      <c r="I170" s="7"/>
      <c r="J170" s="10">
        <f t="shared" si="18"/>
        <v>0</v>
      </c>
      <c r="K170" s="142">
        <f t="shared" si="19"/>
        <v>0</v>
      </c>
    </row>
    <row r="171" spans="1:11" ht="40.5" x14ac:dyDescent="0.35">
      <c r="A171" s="141">
        <v>49</v>
      </c>
      <c r="B171" s="92" t="s">
        <v>223</v>
      </c>
      <c r="C171" s="93" t="s">
        <v>20</v>
      </c>
      <c r="D171" s="157">
        <v>1</v>
      </c>
      <c r="E171" s="94"/>
      <c r="F171" s="5">
        <f t="shared" si="12"/>
        <v>0</v>
      </c>
      <c r="G171" s="94"/>
      <c r="H171" s="142">
        <f t="shared" si="17"/>
        <v>0</v>
      </c>
      <c r="I171" s="94"/>
      <c r="J171" s="10">
        <f t="shared" si="18"/>
        <v>0</v>
      </c>
      <c r="K171" s="142">
        <f t="shared" si="19"/>
        <v>0</v>
      </c>
    </row>
    <row r="172" spans="1:11" x14ac:dyDescent="0.35">
      <c r="A172" s="141">
        <v>50</v>
      </c>
      <c r="B172" s="95" t="s">
        <v>224</v>
      </c>
      <c r="C172" s="93" t="s">
        <v>20</v>
      </c>
      <c r="D172" s="94">
        <v>38</v>
      </c>
      <c r="E172" s="94"/>
      <c r="F172" s="5">
        <f t="shared" si="12"/>
        <v>0</v>
      </c>
      <c r="G172" s="94"/>
      <c r="H172" s="142">
        <f t="shared" si="17"/>
        <v>0</v>
      </c>
      <c r="I172" s="94"/>
      <c r="J172" s="10">
        <f t="shared" si="18"/>
        <v>0</v>
      </c>
      <c r="K172" s="142">
        <f t="shared" si="19"/>
        <v>0</v>
      </c>
    </row>
    <row r="173" spans="1:11" x14ac:dyDescent="0.35">
      <c r="A173" s="141">
        <v>51</v>
      </c>
      <c r="B173" s="95" t="s">
        <v>225</v>
      </c>
      <c r="C173" s="93" t="s">
        <v>20</v>
      </c>
      <c r="D173" s="94">
        <v>5</v>
      </c>
      <c r="E173" s="94"/>
      <c r="F173" s="5">
        <f t="shared" si="12"/>
        <v>0</v>
      </c>
      <c r="G173" s="94"/>
      <c r="H173" s="142">
        <f t="shared" si="17"/>
        <v>0</v>
      </c>
      <c r="I173" s="94"/>
      <c r="J173" s="10">
        <f t="shared" si="18"/>
        <v>0</v>
      </c>
      <c r="K173" s="142">
        <f t="shared" si="19"/>
        <v>0</v>
      </c>
    </row>
    <row r="174" spans="1:11" x14ac:dyDescent="0.35">
      <c r="A174" s="141">
        <v>52</v>
      </c>
      <c r="B174" s="95" t="s">
        <v>226</v>
      </c>
      <c r="C174" s="93" t="s">
        <v>20</v>
      </c>
      <c r="D174" s="94">
        <v>5</v>
      </c>
      <c r="E174" s="94"/>
      <c r="F174" s="5">
        <f t="shared" si="12"/>
        <v>0</v>
      </c>
      <c r="G174" s="94"/>
      <c r="H174" s="142">
        <f t="shared" si="17"/>
        <v>0</v>
      </c>
      <c r="I174" s="94"/>
      <c r="J174" s="10">
        <f t="shared" si="18"/>
        <v>0</v>
      </c>
      <c r="K174" s="142">
        <f t="shared" si="19"/>
        <v>0</v>
      </c>
    </row>
    <row r="175" spans="1:11" x14ac:dyDescent="0.35">
      <c r="A175" s="141">
        <v>53</v>
      </c>
      <c r="B175" s="96" t="s">
        <v>227</v>
      </c>
      <c r="C175" s="93" t="s">
        <v>207</v>
      </c>
      <c r="D175" s="94">
        <v>650</v>
      </c>
      <c r="E175" s="94"/>
      <c r="F175" s="5">
        <f t="shared" si="12"/>
        <v>0</v>
      </c>
      <c r="G175" s="94"/>
      <c r="H175" s="142">
        <f t="shared" si="17"/>
        <v>0</v>
      </c>
      <c r="I175" s="94"/>
      <c r="J175" s="10">
        <f t="shared" si="18"/>
        <v>0</v>
      </c>
      <c r="K175" s="142">
        <f t="shared" si="19"/>
        <v>0</v>
      </c>
    </row>
    <row r="176" spans="1:11" x14ac:dyDescent="0.35">
      <c r="A176" s="97"/>
      <c r="B176" s="25" t="s">
        <v>38</v>
      </c>
      <c r="C176" s="2" t="s">
        <v>1</v>
      </c>
      <c r="D176" s="7">
        <f>(E171+E172+E173+E174+E175)*0.05</f>
        <v>0</v>
      </c>
      <c r="E176" s="7"/>
      <c r="F176" s="5">
        <f t="shared" si="12"/>
        <v>0</v>
      </c>
      <c r="G176" s="7"/>
      <c r="H176" s="142">
        <f t="shared" si="17"/>
        <v>0</v>
      </c>
      <c r="I176" s="7"/>
      <c r="J176" s="10">
        <f t="shared" si="18"/>
        <v>0</v>
      </c>
      <c r="K176" s="142">
        <f t="shared" si="19"/>
        <v>0</v>
      </c>
    </row>
    <row r="177" spans="1:12" x14ac:dyDescent="0.35">
      <c r="A177" s="285"/>
      <c r="B177" s="314" t="s">
        <v>282</v>
      </c>
      <c r="C177" s="287"/>
      <c r="D177" s="288"/>
      <c r="E177" s="289"/>
      <c r="F177" s="279">
        <f t="shared" si="12"/>
        <v>0</v>
      </c>
      <c r="G177" s="289"/>
      <c r="H177" s="279">
        <f t="shared" si="17"/>
        <v>0</v>
      </c>
      <c r="I177" s="289"/>
      <c r="J177" s="295">
        <f t="shared" si="18"/>
        <v>0</v>
      </c>
      <c r="K177" s="279">
        <f t="shared" si="19"/>
        <v>0</v>
      </c>
    </row>
    <row r="178" spans="1:12" ht="33" customHeight="1" x14ac:dyDescent="0.35">
      <c r="A178" s="47">
        <v>54</v>
      </c>
      <c r="B178" s="16" t="s">
        <v>283</v>
      </c>
      <c r="C178" s="26" t="s">
        <v>16</v>
      </c>
      <c r="D178" s="7">
        <v>31</v>
      </c>
      <c r="E178" s="7"/>
      <c r="F178" s="5">
        <f t="shared" si="12"/>
        <v>0</v>
      </c>
      <c r="G178" s="7"/>
      <c r="H178" s="142">
        <f t="shared" si="17"/>
        <v>0</v>
      </c>
      <c r="I178" s="7"/>
      <c r="J178" s="10">
        <f t="shared" si="18"/>
        <v>0</v>
      </c>
      <c r="K178" s="142">
        <f t="shared" si="19"/>
        <v>0</v>
      </c>
      <c r="L178" s="145"/>
    </row>
    <row r="179" spans="1:12" x14ac:dyDescent="0.35">
      <c r="A179" s="47">
        <v>55</v>
      </c>
      <c r="B179" s="16" t="s">
        <v>284</v>
      </c>
      <c r="C179" s="26" t="s">
        <v>22</v>
      </c>
      <c r="D179" s="7">
        <v>44</v>
      </c>
      <c r="E179" s="7"/>
      <c r="F179" s="5">
        <f t="shared" si="12"/>
        <v>0</v>
      </c>
      <c r="G179" s="7"/>
      <c r="H179" s="142">
        <f t="shared" si="17"/>
        <v>0</v>
      </c>
      <c r="I179" s="7"/>
      <c r="J179" s="10">
        <f t="shared" si="18"/>
        <v>0</v>
      </c>
      <c r="K179" s="142">
        <f t="shared" si="19"/>
        <v>0</v>
      </c>
    </row>
    <row r="180" spans="1:12" ht="27" x14ac:dyDescent="0.35">
      <c r="A180" s="47">
        <v>56</v>
      </c>
      <c r="B180" s="16" t="s">
        <v>286</v>
      </c>
      <c r="C180" s="26" t="s">
        <v>16</v>
      </c>
      <c r="D180" s="7">
        <v>32</v>
      </c>
      <c r="E180" s="7"/>
      <c r="F180" s="5">
        <f t="shared" si="12"/>
        <v>0</v>
      </c>
      <c r="G180" s="7"/>
      <c r="H180" s="142">
        <f t="shared" si="17"/>
        <v>0</v>
      </c>
      <c r="I180" s="7"/>
      <c r="J180" s="10">
        <f t="shared" si="18"/>
        <v>0</v>
      </c>
      <c r="K180" s="142">
        <f t="shared" si="19"/>
        <v>0</v>
      </c>
    </row>
    <row r="181" spans="1:12" x14ac:dyDescent="0.35">
      <c r="A181" s="280"/>
      <c r="B181" s="315" t="s">
        <v>9</v>
      </c>
      <c r="C181" s="278"/>
      <c r="D181" s="270"/>
      <c r="E181" s="270"/>
      <c r="F181" s="316">
        <f>SUM(F9:F180)</f>
        <v>0</v>
      </c>
      <c r="G181" s="316"/>
      <c r="H181" s="316">
        <f>SUM(H9:H180)</f>
        <v>0</v>
      </c>
      <c r="I181" s="316"/>
      <c r="J181" s="316">
        <f>SUM(J9:J180)</f>
        <v>0</v>
      </c>
      <c r="K181" s="316">
        <f>SUM(K9:K180)</f>
        <v>0</v>
      </c>
    </row>
    <row r="182" spans="1:12" x14ac:dyDescent="0.35">
      <c r="A182" s="30"/>
      <c r="B182" s="31" t="s">
        <v>67</v>
      </c>
      <c r="C182" s="32" t="s">
        <v>484</v>
      </c>
      <c r="D182" s="33"/>
      <c r="E182" s="33"/>
      <c r="F182" s="33"/>
      <c r="G182" s="33"/>
      <c r="H182" s="33"/>
      <c r="I182" s="33"/>
      <c r="J182" s="33"/>
      <c r="K182" s="34" t="e">
        <f>F181*C182</f>
        <v>#VALUE!</v>
      </c>
    </row>
    <row r="183" spans="1:12" x14ac:dyDescent="0.35">
      <c r="A183" s="30"/>
      <c r="B183" s="35" t="s">
        <v>9</v>
      </c>
      <c r="C183" s="143"/>
      <c r="D183" s="33"/>
      <c r="E183" s="33"/>
      <c r="F183" s="33"/>
      <c r="G183" s="33"/>
      <c r="H183" s="33"/>
      <c r="I183" s="33"/>
      <c r="J183" s="33"/>
      <c r="K183" s="34" t="e">
        <f>SUM(K181:K182)</f>
        <v>#VALUE!</v>
      </c>
    </row>
    <row r="184" spans="1:12" x14ac:dyDescent="0.35">
      <c r="A184" s="30"/>
      <c r="B184" s="31" t="s">
        <v>68</v>
      </c>
      <c r="C184" s="32" t="s">
        <v>484</v>
      </c>
      <c r="D184" s="33"/>
      <c r="E184" s="33"/>
      <c r="F184" s="33"/>
      <c r="G184" s="33"/>
      <c r="H184" s="33"/>
      <c r="I184" s="33"/>
      <c r="J184" s="33"/>
      <c r="K184" s="34" t="e">
        <f>K183*C184</f>
        <v>#VALUE!</v>
      </c>
    </row>
    <row r="185" spans="1:12" x14ac:dyDescent="0.35">
      <c r="A185" s="30"/>
      <c r="B185" s="35" t="s">
        <v>9</v>
      </c>
      <c r="C185" s="143"/>
      <c r="D185" s="33"/>
      <c r="E185" s="33"/>
      <c r="F185" s="33"/>
      <c r="G185" s="33"/>
      <c r="H185" s="33"/>
      <c r="I185" s="33"/>
      <c r="J185" s="33"/>
      <c r="K185" s="34" t="e">
        <f>SUM(K183:K184)</f>
        <v>#VALUE!</v>
      </c>
    </row>
    <row r="186" spans="1:12" x14ac:dyDescent="0.35">
      <c r="A186" s="30"/>
      <c r="B186" s="31" t="s">
        <v>69</v>
      </c>
      <c r="C186" s="32" t="s">
        <v>484</v>
      </c>
      <c r="D186" s="33"/>
      <c r="E186" s="33"/>
      <c r="F186" s="33"/>
      <c r="G186" s="33"/>
      <c r="H186" s="33"/>
      <c r="I186" s="33"/>
      <c r="J186" s="33"/>
      <c r="K186" s="34" t="e">
        <f>K185*C186</f>
        <v>#VALUE!</v>
      </c>
    </row>
    <row r="187" spans="1:12" x14ac:dyDescent="0.35">
      <c r="A187" s="36"/>
      <c r="B187" s="35" t="s">
        <v>9</v>
      </c>
      <c r="C187" s="143"/>
      <c r="D187" s="33"/>
      <c r="E187" s="33"/>
      <c r="F187" s="33"/>
      <c r="G187" s="33"/>
      <c r="H187" s="33"/>
      <c r="I187" s="33"/>
      <c r="J187" s="33"/>
      <c r="K187" s="34" t="e">
        <f>SUM(K185:K186)</f>
        <v>#VALUE!</v>
      </c>
    </row>
    <row r="188" spans="1:12" x14ac:dyDescent="0.35">
      <c r="A188" s="36"/>
      <c r="B188" s="31" t="s">
        <v>70</v>
      </c>
      <c r="C188" s="37" t="s">
        <v>484</v>
      </c>
      <c r="D188" s="33"/>
      <c r="E188" s="33"/>
      <c r="F188" s="33"/>
      <c r="G188" s="33"/>
      <c r="H188" s="33"/>
      <c r="I188" s="33"/>
      <c r="J188" s="33"/>
      <c r="K188" s="34" t="e">
        <f>K187*C188</f>
        <v>#VALUE!</v>
      </c>
    </row>
    <row r="189" spans="1:12" x14ac:dyDescent="0.35">
      <c r="A189" s="36"/>
      <c r="B189" s="31" t="s">
        <v>71</v>
      </c>
      <c r="C189" s="37">
        <v>0.02</v>
      </c>
      <c r="D189" s="33"/>
      <c r="E189" s="33"/>
      <c r="F189" s="33"/>
      <c r="G189" s="33"/>
      <c r="H189" s="33"/>
      <c r="I189" s="33"/>
      <c r="J189" s="33"/>
      <c r="K189" s="34">
        <f>H181*C189</f>
        <v>0</v>
      </c>
    </row>
    <row r="190" spans="1:12" x14ac:dyDescent="0.35">
      <c r="A190" s="30"/>
      <c r="B190" s="38" t="s">
        <v>9</v>
      </c>
      <c r="C190" s="143"/>
      <c r="D190" s="33"/>
      <c r="E190" s="33"/>
      <c r="F190" s="33"/>
      <c r="G190" s="33"/>
      <c r="H190" s="33"/>
      <c r="I190" s="33"/>
      <c r="J190" s="33"/>
      <c r="K190" s="34" t="e">
        <f>SUM(K187:K189)</f>
        <v>#VALUE!</v>
      </c>
    </row>
    <row r="191" spans="1:12" x14ac:dyDescent="0.35">
      <c r="A191" s="30"/>
      <c r="B191" s="29" t="s">
        <v>72</v>
      </c>
      <c r="C191" s="32">
        <v>0.18</v>
      </c>
      <c r="D191" s="33"/>
      <c r="E191" s="33"/>
      <c r="F191" s="33"/>
      <c r="G191" s="33"/>
      <c r="H191" s="33"/>
      <c r="I191" s="33"/>
      <c r="J191" s="33"/>
      <c r="K191" s="34" t="e">
        <f>K190*C191</f>
        <v>#VALUE!</v>
      </c>
    </row>
    <row r="192" spans="1:12" ht="16" x14ac:dyDescent="0.4">
      <c r="A192" s="120"/>
      <c r="B192" s="121" t="s">
        <v>156</v>
      </c>
      <c r="C192" s="122"/>
      <c r="D192" s="123"/>
      <c r="E192" s="123"/>
      <c r="F192" s="123"/>
      <c r="G192" s="123"/>
      <c r="H192" s="123"/>
      <c r="I192" s="123"/>
      <c r="J192" s="123"/>
      <c r="K192" s="124" t="e">
        <f>SUM(K190:K191)</f>
        <v>#VALUE!</v>
      </c>
    </row>
  </sheetData>
  <autoFilter ref="A8:L192" xr:uid="{00000000-0009-0000-0000-000004000000}"/>
  <mergeCells count="36">
    <mergeCell ref="A149:A150"/>
    <mergeCell ref="A152:A153"/>
    <mergeCell ref="A155:A157"/>
    <mergeCell ref="A169:A170"/>
    <mergeCell ref="A116:A118"/>
    <mergeCell ref="A120:A123"/>
    <mergeCell ref="A124:A127"/>
    <mergeCell ref="A133:A136"/>
    <mergeCell ref="A137:A139"/>
    <mergeCell ref="A85:A87"/>
    <mergeCell ref="A88:A96"/>
    <mergeCell ref="A97:A105"/>
    <mergeCell ref="A106:A110"/>
    <mergeCell ref="A111:A115"/>
    <mergeCell ref="A70:A75"/>
    <mergeCell ref="B1:J1"/>
    <mergeCell ref="B2:J2"/>
    <mergeCell ref="K5:K6"/>
    <mergeCell ref="A38:A41"/>
    <mergeCell ref="A42:A44"/>
    <mergeCell ref="A76:A79"/>
    <mergeCell ref="A80:A84"/>
    <mergeCell ref="A3:K3"/>
    <mergeCell ref="E4:H4"/>
    <mergeCell ref="I4:J4"/>
    <mergeCell ref="A5:A6"/>
    <mergeCell ref="B5:B6"/>
    <mergeCell ref="C5:C6"/>
    <mergeCell ref="D5:D6"/>
    <mergeCell ref="E5:F5"/>
    <mergeCell ref="G5:H5"/>
    <mergeCell ref="I5:J5"/>
    <mergeCell ref="A45:A49"/>
    <mergeCell ref="A51:A55"/>
    <mergeCell ref="A57:A62"/>
    <mergeCell ref="A63:A68"/>
  </mergeCells>
  <pageMargins left="0.45" right="0.45" top="0.5" bottom="0.5" header="0.3" footer="0.3"/>
  <pageSetup scale="83" orientation="landscape" horizontalDpi="0" verticalDpi="0" r:id="rId1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M174"/>
  <sheetViews>
    <sheetView tabSelected="1" topLeftCell="A158" zoomScaleNormal="100" workbookViewId="0">
      <selection activeCell="F170" sqref="F170"/>
    </sheetView>
  </sheetViews>
  <sheetFormatPr defaultColWidth="9.08984375" defaultRowHeight="14.5" x14ac:dyDescent="0.35"/>
  <cols>
    <col min="1" max="1" width="4.54296875" style="1" customWidth="1"/>
    <col min="2" max="2" width="66.6328125" style="1" customWidth="1"/>
    <col min="3" max="3" width="7.54296875" style="1" customWidth="1"/>
    <col min="4" max="4" width="10.36328125" style="76" customWidth="1"/>
    <col min="5" max="5" width="9.54296875" style="1" customWidth="1"/>
    <col min="6" max="6" width="13.08984375" style="1" customWidth="1"/>
    <col min="7" max="7" width="8.453125" style="1" customWidth="1"/>
    <col min="8" max="8" width="12.6328125" style="1" customWidth="1"/>
    <col min="9" max="9" width="8" style="1" customWidth="1"/>
    <col min="10" max="10" width="10.453125" style="1" customWidth="1"/>
    <col min="11" max="11" width="15.36328125" style="1" customWidth="1"/>
    <col min="12" max="16384" width="9.08984375" style="1"/>
  </cols>
  <sheetData>
    <row r="1" spans="1:13" ht="20.149999999999999" customHeight="1" x14ac:dyDescent="0.45">
      <c r="B1" s="334" t="s">
        <v>347</v>
      </c>
      <c r="C1" s="335"/>
      <c r="D1" s="335"/>
      <c r="E1" s="335"/>
      <c r="F1" s="335"/>
      <c r="G1" s="335"/>
      <c r="H1" s="335"/>
      <c r="I1" s="335"/>
      <c r="J1" s="335"/>
    </row>
    <row r="2" spans="1:13" ht="20.149999999999999" customHeight="1" x14ac:dyDescent="0.35">
      <c r="B2" s="336" t="s">
        <v>385</v>
      </c>
      <c r="C2" s="336"/>
      <c r="D2" s="336"/>
      <c r="E2" s="336"/>
      <c r="F2" s="336"/>
      <c r="G2" s="336"/>
      <c r="H2" s="336"/>
      <c r="I2" s="336"/>
      <c r="J2" s="336"/>
    </row>
    <row r="3" spans="1:13" s="128" customFormat="1" ht="24.9" customHeight="1" x14ac:dyDescent="0.35">
      <c r="A3" s="377" t="s">
        <v>382</v>
      </c>
      <c r="B3" s="378"/>
      <c r="C3" s="378"/>
      <c r="D3" s="378"/>
      <c r="E3" s="378"/>
      <c r="F3" s="378"/>
      <c r="G3" s="378"/>
      <c r="H3" s="378"/>
      <c r="I3" s="378"/>
      <c r="J3" s="378"/>
      <c r="K3" s="379"/>
    </row>
    <row r="4" spans="1:13" ht="18" customHeight="1" x14ac:dyDescent="0.35">
      <c r="A4" s="30"/>
      <c r="B4" s="108"/>
      <c r="C4" s="108"/>
      <c r="D4" s="108"/>
      <c r="E4" s="399" t="s">
        <v>0</v>
      </c>
      <c r="F4" s="400"/>
      <c r="G4" s="400"/>
      <c r="H4" s="401"/>
      <c r="I4" s="402" t="e">
        <f>K174</f>
        <v>#VALUE!</v>
      </c>
      <c r="J4" s="403"/>
      <c r="K4" s="137" t="s">
        <v>1</v>
      </c>
      <c r="L4" s="136"/>
    </row>
    <row r="5" spans="1:13" ht="22.5" customHeight="1" x14ac:dyDescent="0.35">
      <c r="A5" s="408" t="s">
        <v>2</v>
      </c>
      <c r="B5" s="408" t="s">
        <v>3</v>
      </c>
      <c r="C5" s="408" t="s">
        <v>4</v>
      </c>
      <c r="D5" s="404" t="s">
        <v>5</v>
      </c>
      <c r="E5" s="406" t="s">
        <v>6</v>
      </c>
      <c r="F5" s="407"/>
      <c r="G5" s="410" t="s">
        <v>7</v>
      </c>
      <c r="H5" s="411"/>
      <c r="I5" s="412" t="s">
        <v>8</v>
      </c>
      <c r="J5" s="413"/>
      <c r="K5" s="404" t="s">
        <v>9</v>
      </c>
      <c r="L5" s="138"/>
    </row>
    <row r="6" spans="1:13" ht="23.25" customHeight="1" x14ac:dyDescent="0.35">
      <c r="A6" s="409"/>
      <c r="B6" s="409"/>
      <c r="C6" s="409"/>
      <c r="D6" s="405"/>
      <c r="E6" s="98" t="s">
        <v>10</v>
      </c>
      <c r="F6" s="99" t="s">
        <v>9</v>
      </c>
      <c r="G6" s="100" t="s">
        <v>10</v>
      </c>
      <c r="H6" s="99" t="s">
        <v>9</v>
      </c>
      <c r="I6" s="100" t="s">
        <v>10</v>
      </c>
      <c r="J6" s="99" t="s">
        <v>11</v>
      </c>
      <c r="K6" s="405"/>
      <c r="L6" s="138"/>
    </row>
    <row r="7" spans="1:13" ht="16.5" customHeight="1" x14ac:dyDescent="0.35">
      <c r="A7" s="101">
        <v>1</v>
      </c>
      <c r="B7" s="101">
        <v>2</v>
      </c>
      <c r="C7" s="101">
        <v>3</v>
      </c>
      <c r="D7" s="102">
        <v>4</v>
      </c>
      <c r="E7" s="101">
        <v>5</v>
      </c>
      <c r="F7" s="101">
        <v>6</v>
      </c>
      <c r="G7" s="101">
        <v>7</v>
      </c>
      <c r="H7" s="101">
        <v>8</v>
      </c>
      <c r="I7" s="101">
        <v>9</v>
      </c>
      <c r="J7" s="103">
        <v>10</v>
      </c>
      <c r="K7" s="103">
        <v>11</v>
      </c>
      <c r="L7" s="138"/>
    </row>
    <row r="8" spans="1:13" ht="20.149999999999999" customHeight="1" x14ac:dyDescent="0.35">
      <c r="A8" s="43"/>
      <c r="B8" s="44" t="s">
        <v>73</v>
      </c>
      <c r="C8" s="45"/>
      <c r="D8" s="46"/>
      <c r="E8" s="46"/>
      <c r="F8" s="46"/>
      <c r="G8" s="46"/>
      <c r="H8" s="46"/>
      <c r="I8" s="46"/>
      <c r="J8" s="261"/>
      <c r="K8" s="261"/>
      <c r="L8" s="138"/>
    </row>
    <row r="9" spans="1:13" ht="40.5" x14ac:dyDescent="0.35">
      <c r="A9" s="211">
        <v>1</v>
      </c>
      <c r="B9" s="212" t="s">
        <v>289</v>
      </c>
      <c r="C9" s="210" t="s">
        <v>13</v>
      </c>
      <c r="D9" s="221">
        <f>1.1*2*42</f>
        <v>92.4</v>
      </c>
      <c r="E9" s="213"/>
      <c r="F9" s="213"/>
      <c r="G9" s="213"/>
      <c r="H9" s="213">
        <f>G9*D9</f>
        <v>0</v>
      </c>
      <c r="I9" s="213"/>
      <c r="J9" s="214">
        <f>I9*D9</f>
        <v>0</v>
      </c>
      <c r="K9" s="214">
        <f>J9+H9+F9</f>
        <v>0</v>
      </c>
      <c r="L9" s="136"/>
    </row>
    <row r="10" spans="1:13" ht="40.5" x14ac:dyDescent="0.35">
      <c r="A10" s="211">
        <v>2</v>
      </c>
      <c r="B10" s="212" t="s">
        <v>290</v>
      </c>
      <c r="C10" s="210" t="s">
        <v>13</v>
      </c>
      <c r="D10" s="221">
        <f>1.45*2*8</f>
        <v>23.2</v>
      </c>
      <c r="E10" s="213"/>
      <c r="F10" s="213"/>
      <c r="G10" s="213"/>
      <c r="H10" s="213">
        <f t="shared" ref="H10:H69" si="0">G10*D10</f>
        <v>0</v>
      </c>
      <c r="I10" s="213"/>
      <c r="J10" s="214">
        <f t="shared" ref="J10:J69" si="1">I10*D10</f>
        <v>0</v>
      </c>
      <c r="K10" s="214">
        <f t="shared" ref="K10:K69" si="2">J10+H10+F10</f>
        <v>0</v>
      </c>
      <c r="L10" s="136"/>
    </row>
    <row r="11" spans="1:13" x14ac:dyDescent="0.35">
      <c r="A11" s="223">
        <v>3</v>
      </c>
      <c r="B11" s="185" t="s">
        <v>141</v>
      </c>
      <c r="C11" s="186" t="s">
        <v>13</v>
      </c>
      <c r="D11" s="187">
        <v>100</v>
      </c>
      <c r="E11" s="187"/>
      <c r="F11" s="187"/>
      <c r="G11" s="187"/>
      <c r="H11" s="187">
        <f t="shared" si="0"/>
        <v>0</v>
      </c>
      <c r="I11" s="187"/>
      <c r="J11" s="188">
        <f t="shared" si="1"/>
        <v>0</v>
      </c>
      <c r="K11" s="188">
        <f t="shared" si="2"/>
        <v>0</v>
      </c>
      <c r="L11" s="136"/>
      <c r="M11" s="202"/>
    </row>
    <row r="12" spans="1:13" x14ac:dyDescent="0.35">
      <c r="A12" s="11">
        <v>4</v>
      </c>
      <c r="B12" s="14" t="s">
        <v>164</v>
      </c>
      <c r="C12" s="2" t="s">
        <v>13</v>
      </c>
      <c r="D12" s="7">
        <v>106</v>
      </c>
      <c r="E12" s="7"/>
      <c r="F12" s="7"/>
      <c r="G12" s="7"/>
      <c r="H12" s="142">
        <f t="shared" si="0"/>
        <v>0</v>
      </c>
      <c r="I12" s="7"/>
      <c r="J12" s="10">
        <f t="shared" si="1"/>
        <v>0</v>
      </c>
      <c r="K12" s="142">
        <f t="shared" si="2"/>
        <v>0</v>
      </c>
      <c r="L12" s="321"/>
    </row>
    <row r="13" spans="1:13" x14ac:dyDescent="0.35">
      <c r="A13" s="11">
        <v>5</v>
      </c>
      <c r="B13" s="9" t="s">
        <v>75</v>
      </c>
      <c r="C13" s="2" t="s">
        <v>174</v>
      </c>
      <c r="D13" s="7">
        <v>102</v>
      </c>
      <c r="E13" s="7"/>
      <c r="F13" s="7"/>
      <c r="G13" s="7"/>
      <c r="H13" s="142">
        <f t="shared" si="0"/>
        <v>0</v>
      </c>
      <c r="I13" s="7"/>
      <c r="J13" s="10">
        <f t="shared" si="1"/>
        <v>0</v>
      </c>
      <c r="K13" s="10">
        <f t="shared" si="2"/>
        <v>0</v>
      </c>
      <c r="L13" s="136"/>
    </row>
    <row r="14" spans="1:13" x14ac:dyDescent="0.35">
      <c r="A14" s="11">
        <v>6</v>
      </c>
      <c r="B14" s="9" t="s">
        <v>76</v>
      </c>
      <c r="C14" s="2" t="s">
        <v>174</v>
      </c>
      <c r="D14" s="7">
        <v>54</v>
      </c>
      <c r="E14" s="7"/>
      <c r="F14" s="7"/>
      <c r="G14" s="7"/>
      <c r="H14" s="142">
        <f t="shared" si="0"/>
        <v>0</v>
      </c>
      <c r="I14" s="7"/>
      <c r="J14" s="10">
        <f t="shared" si="1"/>
        <v>0</v>
      </c>
      <c r="K14" s="10">
        <f t="shared" si="2"/>
        <v>0</v>
      </c>
      <c r="L14" s="136"/>
    </row>
    <row r="15" spans="1:13" x14ac:dyDescent="0.35">
      <c r="A15" s="11">
        <v>7</v>
      </c>
      <c r="B15" s="84" t="s">
        <v>177</v>
      </c>
      <c r="C15" s="6" t="s">
        <v>20</v>
      </c>
      <c r="D15" s="5">
        <v>1</v>
      </c>
      <c r="E15" s="7"/>
      <c r="F15" s="7"/>
      <c r="G15" s="7"/>
      <c r="H15" s="142">
        <f t="shared" si="0"/>
        <v>0</v>
      </c>
      <c r="I15" s="7"/>
      <c r="J15" s="10">
        <f t="shared" si="1"/>
        <v>0</v>
      </c>
      <c r="K15" s="10">
        <f t="shared" si="2"/>
        <v>0</v>
      </c>
      <c r="L15" s="136"/>
    </row>
    <row r="16" spans="1:13" x14ac:dyDescent="0.35">
      <c r="A16" s="11">
        <v>8</v>
      </c>
      <c r="B16" s="13" t="s">
        <v>19</v>
      </c>
      <c r="C16" s="2" t="s">
        <v>20</v>
      </c>
      <c r="D16" s="5">
        <v>30</v>
      </c>
      <c r="E16" s="7"/>
      <c r="F16" s="7"/>
      <c r="G16" s="7"/>
      <c r="H16" s="142">
        <f t="shared" si="0"/>
        <v>0</v>
      </c>
      <c r="I16" s="7"/>
      <c r="J16" s="10">
        <f t="shared" si="1"/>
        <v>0</v>
      </c>
      <c r="K16" s="10">
        <f t="shared" si="2"/>
        <v>0</v>
      </c>
      <c r="L16" s="136"/>
    </row>
    <row r="17" spans="1:13" x14ac:dyDescent="0.35">
      <c r="A17" s="11">
        <v>9</v>
      </c>
      <c r="B17" s="13" t="s">
        <v>92</v>
      </c>
      <c r="C17" s="2" t="s">
        <v>20</v>
      </c>
      <c r="D17" s="142">
        <v>9</v>
      </c>
      <c r="E17" s="139"/>
      <c r="F17" s="139"/>
      <c r="G17" s="139"/>
      <c r="H17" s="142">
        <f t="shared" si="0"/>
        <v>0</v>
      </c>
      <c r="I17" s="139"/>
      <c r="J17" s="10">
        <f t="shared" si="1"/>
        <v>0</v>
      </c>
      <c r="K17" s="10">
        <f t="shared" si="2"/>
        <v>0</v>
      </c>
      <c r="L17" s="136"/>
    </row>
    <row r="18" spans="1:13" x14ac:dyDescent="0.35">
      <c r="A18" s="11">
        <v>10</v>
      </c>
      <c r="B18" s="13" t="s">
        <v>178</v>
      </c>
      <c r="C18" s="2" t="s">
        <v>20</v>
      </c>
      <c r="D18" s="5">
        <v>5</v>
      </c>
      <c r="E18" s="7"/>
      <c r="F18" s="7"/>
      <c r="G18" s="7"/>
      <c r="H18" s="142">
        <f t="shared" si="0"/>
        <v>0</v>
      </c>
      <c r="I18" s="7"/>
      <c r="J18" s="10">
        <f t="shared" si="1"/>
        <v>0</v>
      </c>
      <c r="K18" s="10">
        <f t="shared" si="2"/>
        <v>0</v>
      </c>
      <c r="L18" s="136"/>
    </row>
    <row r="19" spans="1:13" x14ac:dyDescent="0.35">
      <c r="A19" s="11">
        <v>11</v>
      </c>
      <c r="B19" s="13" t="s">
        <v>250</v>
      </c>
      <c r="C19" s="2" t="s">
        <v>20</v>
      </c>
      <c r="D19" s="5">
        <v>21</v>
      </c>
      <c r="E19" s="7"/>
      <c r="F19" s="7"/>
      <c r="G19" s="7"/>
      <c r="H19" s="142">
        <f t="shared" si="0"/>
        <v>0</v>
      </c>
      <c r="I19" s="7"/>
      <c r="J19" s="10">
        <f t="shared" si="1"/>
        <v>0</v>
      </c>
      <c r="K19" s="10">
        <f t="shared" si="2"/>
        <v>0</v>
      </c>
      <c r="L19" s="136"/>
    </row>
    <row r="20" spans="1:13" ht="30" customHeight="1" x14ac:dyDescent="0.35">
      <c r="A20" s="11">
        <v>12</v>
      </c>
      <c r="B20" s="13" t="s">
        <v>251</v>
      </c>
      <c r="C20" s="2" t="s">
        <v>20</v>
      </c>
      <c r="D20" s="5">
        <v>49</v>
      </c>
      <c r="E20" s="7"/>
      <c r="F20" s="7"/>
      <c r="G20" s="7"/>
      <c r="H20" s="142">
        <f t="shared" si="0"/>
        <v>0</v>
      </c>
      <c r="I20" s="7"/>
      <c r="J20" s="10">
        <f t="shared" si="1"/>
        <v>0</v>
      </c>
      <c r="K20" s="10">
        <f t="shared" si="2"/>
        <v>0</v>
      </c>
      <c r="L20" s="136"/>
    </row>
    <row r="21" spans="1:13" x14ac:dyDescent="0.35">
      <c r="A21" s="11">
        <v>13</v>
      </c>
      <c r="B21" s="13" t="s">
        <v>291</v>
      </c>
      <c r="C21" s="6" t="s">
        <v>22</v>
      </c>
      <c r="D21" s="5">
        <v>110</v>
      </c>
      <c r="E21" s="7"/>
      <c r="F21" s="7"/>
      <c r="G21" s="7"/>
      <c r="H21" s="142">
        <f t="shared" si="0"/>
        <v>0</v>
      </c>
      <c r="I21" s="7"/>
      <c r="J21" s="10">
        <f t="shared" si="1"/>
        <v>0</v>
      </c>
      <c r="K21" s="10">
        <f t="shared" si="2"/>
        <v>0</v>
      </c>
      <c r="L21" s="136"/>
    </row>
    <row r="22" spans="1:13" ht="40.75" customHeight="1" x14ac:dyDescent="0.35">
      <c r="A22" s="223">
        <v>14</v>
      </c>
      <c r="B22" s="329" t="s">
        <v>474</v>
      </c>
      <c r="C22" s="186" t="s">
        <v>13</v>
      </c>
      <c r="D22" s="197">
        <f>D11</f>
        <v>100</v>
      </c>
      <c r="E22" s="197"/>
      <c r="F22" s="197"/>
      <c r="G22" s="197"/>
      <c r="H22" s="187">
        <f t="shared" si="0"/>
        <v>0</v>
      </c>
      <c r="I22" s="197"/>
      <c r="J22" s="188">
        <f t="shared" si="1"/>
        <v>0</v>
      </c>
      <c r="K22" s="188">
        <f t="shared" si="2"/>
        <v>0</v>
      </c>
      <c r="L22" s="322"/>
    </row>
    <row r="23" spans="1:13" ht="27" x14ac:dyDescent="0.35">
      <c r="A23" s="11">
        <v>16</v>
      </c>
      <c r="B23" s="222" t="s">
        <v>254</v>
      </c>
      <c r="C23" s="2" t="s">
        <v>13</v>
      </c>
      <c r="D23" s="7">
        <v>433</v>
      </c>
      <c r="E23" s="139"/>
      <c r="F23" s="139"/>
      <c r="G23" s="139"/>
      <c r="H23" s="142">
        <f t="shared" si="0"/>
        <v>0</v>
      </c>
      <c r="I23" s="139"/>
      <c r="J23" s="10">
        <f t="shared" si="1"/>
        <v>0</v>
      </c>
      <c r="K23" s="10">
        <f t="shared" si="2"/>
        <v>0</v>
      </c>
      <c r="L23" s="324"/>
      <c r="M23" s="325"/>
    </row>
    <row r="24" spans="1:13" x14ac:dyDescent="0.35">
      <c r="A24" s="11">
        <v>17</v>
      </c>
      <c r="B24" s="14" t="s">
        <v>475</v>
      </c>
      <c r="C24" s="15" t="s">
        <v>24</v>
      </c>
      <c r="D24" s="7">
        <v>100</v>
      </c>
      <c r="E24" s="7"/>
      <c r="F24" s="7"/>
      <c r="G24" s="7"/>
      <c r="H24" s="142">
        <f t="shared" si="0"/>
        <v>0</v>
      </c>
      <c r="I24" s="7"/>
      <c r="J24" s="10">
        <f t="shared" si="1"/>
        <v>0</v>
      </c>
      <c r="K24" s="10">
        <f t="shared" si="2"/>
        <v>0</v>
      </c>
      <c r="L24" s="323"/>
    </row>
    <row r="25" spans="1:13" x14ac:dyDescent="0.35">
      <c r="A25" s="11">
        <v>18</v>
      </c>
      <c r="B25" s="14" t="s">
        <v>292</v>
      </c>
      <c r="C25" s="15" t="s">
        <v>24</v>
      </c>
      <c r="D25" s="7">
        <v>11.2</v>
      </c>
      <c r="E25" s="7"/>
      <c r="F25" s="7"/>
      <c r="G25" s="7"/>
      <c r="H25" s="142">
        <f t="shared" si="0"/>
        <v>0</v>
      </c>
      <c r="I25" s="7"/>
      <c r="J25" s="10">
        <f t="shared" si="1"/>
        <v>0</v>
      </c>
      <c r="K25" s="10">
        <f t="shared" si="2"/>
        <v>0</v>
      </c>
      <c r="L25" s="138"/>
    </row>
    <row r="26" spans="1:13" ht="30" customHeight="1" x14ac:dyDescent="0.35">
      <c r="A26" s="11">
        <v>19</v>
      </c>
      <c r="B26" s="13" t="s">
        <v>255</v>
      </c>
      <c r="C26" s="2" t="s">
        <v>13</v>
      </c>
      <c r="D26" s="7">
        <v>100</v>
      </c>
      <c r="E26" s="7"/>
      <c r="F26" s="7"/>
      <c r="G26" s="7"/>
      <c r="H26" s="142">
        <f t="shared" si="0"/>
        <v>0</v>
      </c>
      <c r="I26" s="7"/>
      <c r="J26" s="10">
        <f t="shared" si="1"/>
        <v>0</v>
      </c>
      <c r="K26" s="10">
        <f t="shared" si="2"/>
        <v>0</v>
      </c>
      <c r="L26" s="138"/>
    </row>
    <row r="27" spans="1:13" x14ac:dyDescent="0.35">
      <c r="A27" s="11">
        <v>20</v>
      </c>
      <c r="B27" s="14" t="s">
        <v>256</v>
      </c>
      <c r="C27" s="2" t="s">
        <v>22</v>
      </c>
      <c r="D27" s="7">
        <v>90</v>
      </c>
      <c r="E27" s="7"/>
      <c r="F27" s="7"/>
      <c r="G27" s="7"/>
      <c r="H27" s="142">
        <f t="shared" si="0"/>
        <v>0</v>
      </c>
      <c r="I27" s="7"/>
      <c r="J27" s="10">
        <f t="shared" si="1"/>
        <v>0</v>
      </c>
      <c r="K27" s="10">
        <f t="shared" si="2"/>
        <v>0</v>
      </c>
      <c r="L27" s="138"/>
    </row>
    <row r="28" spans="1:13" x14ac:dyDescent="0.35">
      <c r="A28" s="11">
        <v>22</v>
      </c>
      <c r="B28" s="16" t="s">
        <v>293</v>
      </c>
      <c r="C28" s="2" t="s">
        <v>29</v>
      </c>
      <c r="D28" s="7">
        <v>128</v>
      </c>
      <c r="E28" s="7"/>
      <c r="F28" s="7"/>
      <c r="G28" s="7"/>
      <c r="H28" s="142">
        <f t="shared" si="0"/>
        <v>0</v>
      </c>
      <c r="I28" s="7"/>
      <c r="J28" s="10">
        <f t="shared" si="1"/>
        <v>0</v>
      </c>
      <c r="K28" s="142">
        <f t="shared" si="2"/>
        <v>0</v>
      </c>
    </row>
    <row r="29" spans="1:13" x14ac:dyDescent="0.35">
      <c r="A29" s="11">
        <v>23</v>
      </c>
      <c r="B29" s="16" t="s">
        <v>31</v>
      </c>
      <c r="C29" s="2" t="s">
        <v>32</v>
      </c>
      <c r="D29" s="7">
        <f>D28*1.8</f>
        <v>230.4</v>
      </c>
      <c r="E29" s="7"/>
      <c r="F29" s="7"/>
      <c r="G29" s="7"/>
      <c r="H29" s="142">
        <f t="shared" si="0"/>
        <v>0</v>
      </c>
      <c r="I29" s="7"/>
      <c r="J29" s="10">
        <f t="shared" si="1"/>
        <v>0</v>
      </c>
      <c r="K29" s="142">
        <f t="shared" si="2"/>
        <v>0</v>
      </c>
    </row>
    <row r="30" spans="1:13" ht="20.149999999999999" customHeight="1" x14ac:dyDescent="0.35">
      <c r="A30" s="308"/>
      <c r="B30" s="309" t="s">
        <v>166</v>
      </c>
      <c r="C30" s="310"/>
      <c r="D30" s="289"/>
      <c r="E30" s="289"/>
      <c r="F30" s="289"/>
      <c r="G30" s="289"/>
      <c r="H30" s="279">
        <f t="shared" si="0"/>
        <v>0</v>
      </c>
      <c r="I30" s="289"/>
      <c r="J30" s="295">
        <f t="shared" si="1"/>
        <v>0</v>
      </c>
      <c r="K30" s="279">
        <f t="shared" si="2"/>
        <v>0</v>
      </c>
    </row>
    <row r="31" spans="1:13" x14ac:dyDescent="0.35">
      <c r="A31" s="308"/>
      <c r="B31" s="309" t="s">
        <v>167</v>
      </c>
      <c r="C31" s="310"/>
      <c r="D31" s="289"/>
      <c r="E31" s="289"/>
      <c r="F31" s="289"/>
      <c r="G31" s="289"/>
      <c r="H31" s="279">
        <f t="shared" si="0"/>
        <v>0</v>
      </c>
      <c r="I31" s="289"/>
      <c r="J31" s="295">
        <f t="shared" si="1"/>
        <v>0</v>
      </c>
      <c r="K31" s="279">
        <f t="shared" si="2"/>
        <v>0</v>
      </c>
    </row>
    <row r="32" spans="1:13" ht="27" x14ac:dyDescent="0.35">
      <c r="A32" s="358">
        <v>1</v>
      </c>
      <c r="B32" s="327" t="s">
        <v>482</v>
      </c>
      <c r="C32" s="18" t="s">
        <v>13</v>
      </c>
      <c r="D32" s="19">
        <f>D24</f>
        <v>100</v>
      </c>
      <c r="E32" s="68"/>
      <c r="F32" s="5"/>
      <c r="G32" s="5"/>
      <c r="H32" s="142">
        <f t="shared" si="0"/>
        <v>0</v>
      </c>
      <c r="I32" s="5"/>
      <c r="J32" s="10">
        <f t="shared" si="1"/>
        <v>0</v>
      </c>
      <c r="K32" s="142">
        <f t="shared" si="2"/>
        <v>0</v>
      </c>
    </row>
    <row r="33" spans="1:13" x14ac:dyDescent="0.35">
      <c r="A33" s="359"/>
      <c r="B33" s="69" t="s">
        <v>294</v>
      </c>
      <c r="C33" s="2" t="s">
        <v>29</v>
      </c>
      <c r="D33" s="5">
        <f>0.062*D32</f>
        <v>6.2</v>
      </c>
      <c r="E33" s="5"/>
      <c r="F33" s="5">
        <f>E33*D33</f>
        <v>0</v>
      </c>
      <c r="G33" s="5"/>
      <c r="H33" s="142">
        <f t="shared" si="0"/>
        <v>0</v>
      </c>
      <c r="I33" s="5"/>
      <c r="J33" s="10">
        <f t="shared" si="1"/>
        <v>0</v>
      </c>
      <c r="K33" s="142">
        <f t="shared" si="2"/>
        <v>0</v>
      </c>
    </row>
    <row r="34" spans="1:13" x14ac:dyDescent="0.35">
      <c r="A34" s="359"/>
      <c r="B34" s="69" t="s">
        <v>295</v>
      </c>
      <c r="C34" s="2" t="s">
        <v>32</v>
      </c>
      <c r="D34" s="5">
        <f>0.0155*D32</f>
        <v>1.55</v>
      </c>
      <c r="E34" s="5"/>
      <c r="F34" s="5">
        <f t="shared" ref="F34:F95" si="3">E34*D34</f>
        <v>0</v>
      </c>
      <c r="G34" s="5"/>
      <c r="H34" s="142">
        <f t="shared" si="0"/>
        <v>0</v>
      </c>
      <c r="I34" s="5"/>
      <c r="J34" s="10">
        <f t="shared" si="1"/>
        <v>0</v>
      </c>
      <c r="K34" s="142">
        <f t="shared" si="2"/>
        <v>0</v>
      </c>
    </row>
    <row r="35" spans="1:13" x14ac:dyDescent="0.35">
      <c r="A35" s="360"/>
      <c r="B35" s="13" t="s">
        <v>38</v>
      </c>
      <c r="C35" s="2" t="s">
        <v>1</v>
      </c>
      <c r="D35" s="5">
        <f>D32*0.03</f>
        <v>3</v>
      </c>
      <c r="E35" s="5"/>
      <c r="F35" s="5">
        <f t="shared" si="3"/>
        <v>0</v>
      </c>
      <c r="G35" s="5"/>
      <c r="H35" s="142">
        <f t="shared" si="0"/>
        <v>0</v>
      </c>
      <c r="I35" s="5"/>
      <c r="J35" s="10">
        <f t="shared" si="1"/>
        <v>0</v>
      </c>
      <c r="K35" s="142">
        <f t="shared" si="2"/>
        <v>0</v>
      </c>
    </row>
    <row r="36" spans="1:13" s="318" customFormat="1" ht="27" x14ac:dyDescent="0.35">
      <c r="A36" s="358" t="s">
        <v>14</v>
      </c>
      <c r="B36" s="170" t="s">
        <v>99</v>
      </c>
      <c r="C36" s="201" t="s">
        <v>13</v>
      </c>
      <c r="D36" s="148">
        <v>0</v>
      </c>
      <c r="E36" s="208"/>
      <c r="F36" s="187">
        <f t="shared" si="3"/>
        <v>0</v>
      </c>
      <c r="G36" s="187"/>
      <c r="H36" s="187">
        <f t="shared" si="0"/>
        <v>0</v>
      </c>
      <c r="I36" s="187"/>
      <c r="J36" s="188">
        <f t="shared" si="1"/>
        <v>0</v>
      </c>
      <c r="K36" s="187">
        <f t="shared" si="2"/>
        <v>0</v>
      </c>
      <c r="L36" s="319"/>
      <c r="M36" s="317"/>
    </row>
    <row r="37" spans="1:13" s="318" customFormat="1" x14ac:dyDescent="0.35">
      <c r="A37" s="359"/>
      <c r="B37" s="25" t="s">
        <v>168</v>
      </c>
      <c r="C37" s="2" t="s">
        <v>40</v>
      </c>
      <c r="D37" s="5">
        <f>5*D36</f>
        <v>0</v>
      </c>
      <c r="E37" s="5"/>
      <c r="F37" s="5">
        <f t="shared" si="3"/>
        <v>0</v>
      </c>
      <c r="G37" s="5"/>
      <c r="H37" s="142">
        <f t="shared" si="0"/>
        <v>0</v>
      </c>
      <c r="I37" s="5"/>
      <c r="J37" s="10">
        <f t="shared" si="1"/>
        <v>0</v>
      </c>
      <c r="K37" s="142">
        <f t="shared" si="2"/>
        <v>0</v>
      </c>
      <c r="L37" s="320"/>
    </row>
    <row r="38" spans="1:13" s="318" customFormat="1" x14ac:dyDescent="0.35">
      <c r="A38" s="360"/>
      <c r="B38" s="13" t="s">
        <v>38</v>
      </c>
      <c r="C38" s="2" t="s">
        <v>1</v>
      </c>
      <c r="D38" s="5">
        <f>D36*0.015</f>
        <v>0</v>
      </c>
      <c r="E38" s="5"/>
      <c r="F38" s="5">
        <f t="shared" si="3"/>
        <v>0</v>
      </c>
      <c r="G38" s="5"/>
      <c r="H38" s="142">
        <f t="shared" si="0"/>
        <v>0</v>
      </c>
      <c r="I38" s="5"/>
      <c r="J38" s="10">
        <f t="shared" si="1"/>
        <v>0</v>
      </c>
      <c r="K38" s="142">
        <f t="shared" si="2"/>
        <v>0</v>
      </c>
      <c r="L38" s="320"/>
    </row>
    <row r="39" spans="1:13" s="318" customFormat="1" ht="27" x14ac:dyDescent="0.35">
      <c r="A39" s="358" t="s">
        <v>104</v>
      </c>
      <c r="B39" s="330" t="s">
        <v>477</v>
      </c>
      <c r="C39" s="217" t="s">
        <v>13</v>
      </c>
      <c r="D39" s="218">
        <v>433</v>
      </c>
      <c r="E39" s="331"/>
      <c r="F39" s="213">
        <f t="shared" si="3"/>
        <v>0</v>
      </c>
      <c r="G39" s="213"/>
      <c r="H39" s="213">
        <f t="shared" si="0"/>
        <v>0</v>
      </c>
      <c r="I39" s="213"/>
      <c r="J39" s="214">
        <f t="shared" si="1"/>
        <v>0</v>
      </c>
      <c r="K39" s="213">
        <f t="shared" si="2"/>
        <v>0</v>
      </c>
      <c r="L39" s="320"/>
    </row>
    <row r="40" spans="1:13" s="318" customFormat="1" x14ac:dyDescent="0.35">
      <c r="A40" s="359"/>
      <c r="B40" s="332" t="s">
        <v>478</v>
      </c>
      <c r="C40" s="210" t="s">
        <v>13</v>
      </c>
      <c r="D40" s="213">
        <v>454.65</v>
      </c>
      <c r="E40" s="213"/>
      <c r="F40" s="213">
        <f t="shared" si="3"/>
        <v>0</v>
      </c>
      <c r="G40" s="213"/>
      <c r="H40" s="213">
        <f t="shared" si="0"/>
        <v>0</v>
      </c>
      <c r="I40" s="213"/>
      <c r="J40" s="214">
        <f t="shared" si="1"/>
        <v>0</v>
      </c>
      <c r="K40" s="214">
        <f t="shared" si="2"/>
        <v>0</v>
      </c>
    </row>
    <row r="41" spans="1:13" x14ac:dyDescent="0.35">
      <c r="A41" s="359"/>
      <c r="B41" s="215" t="s">
        <v>479</v>
      </c>
      <c r="C41" s="210" t="s">
        <v>40</v>
      </c>
      <c r="D41" s="213">
        <v>2814.5</v>
      </c>
      <c r="E41" s="213"/>
      <c r="F41" s="213">
        <f t="shared" si="3"/>
        <v>0</v>
      </c>
      <c r="G41" s="213"/>
      <c r="H41" s="213">
        <f t="shared" si="0"/>
        <v>0</v>
      </c>
      <c r="I41" s="213"/>
      <c r="J41" s="214">
        <f t="shared" si="1"/>
        <v>0</v>
      </c>
      <c r="K41" s="213">
        <f t="shared" si="2"/>
        <v>0</v>
      </c>
    </row>
    <row r="42" spans="1:13" x14ac:dyDescent="0.35">
      <c r="A42" s="359"/>
      <c r="B42" s="215" t="s">
        <v>480</v>
      </c>
      <c r="C42" s="210" t="s">
        <v>40</v>
      </c>
      <c r="D42" s="213">
        <v>130</v>
      </c>
      <c r="E42" s="213"/>
      <c r="F42" s="213">
        <f t="shared" si="3"/>
        <v>0</v>
      </c>
      <c r="G42" s="213"/>
      <c r="H42" s="213">
        <f t="shared" si="0"/>
        <v>0</v>
      </c>
      <c r="I42" s="213"/>
      <c r="J42" s="214">
        <f t="shared" si="1"/>
        <v>0</v>
      </c>
      <c r="K42" s="213">
        <f t="shared" si="2"/>
        <v>0</v>
      </c>
    </row>
    <row r="43" spans="1:13" x14ac:dyDescent="0.35">
      <c r="A43" s="359"/>
      <c r="B43" s="215" t="s">
        <v>38</v>
      </c>
      <c r="C43" s="210" t="s">
        <v>40</v>
      </c>
      <c r="D43" s="213">
        <v>0.2</v>
      </c>
      <c r="E43" s="213"/>
      <c r="F43" s="213">
        <f t="shared" si="3"/>
        <v>0</v>
      </c>
      <c r="G43" s="213"/>
      <c r="H43" s="213">
        <f t="shared" si="0"/>
        <v>0</v>
      </c>
      <c r="I43" s="213"/>
      <c r="J43" s="214">
        <f t="shared" si="1"/>
        <v>0</v>
      </c>
      <c r="K43" s="213">
        <f t="shared" si="2"/>
        <v>0</v>
      </c>
    </row>
    <row r="44" spans="1:13" ht="27" x14ac:dyDescent="0.35">
      <c r="A44" s="70" t="s">
        <v>106</v>
      </c>
      <c r="B44" s="17" t="s">
        <v>105</v>
      </c>
      <c r="C44" s="18" t="s">
        <v>13</v>
      </c>
      <c r="D44" s="19">
        <v>133</v>
      </c>
      <c r="E44" s="68"/>
      <c r="F44" s="5">
        <f t="shared" si="3"/>
        <v>0</v>
      </c>
      <c r="G44" s="5"/>
      <c r="H44" s="142">
        <f t="shared" si="0"/>
        <v>0</v>
      </c>
      <c r="I44" s="5"/>
      <c r="J44" s="10">
        <f t="shared" si="1"/>
        <v>0</v>
      </c>
      <c r="K44" s="142">
        <f t="shared" si="2"/>
        <v>0</v>
      </c>
    </row>
    <row r="45" spans="1:13" ht="27" x14ac:dyDescent="0.35">
      <c r="A45" s="353" t="s">
        <v>78</v>
      </c>
      <c r="B45" s="17" t="s">
        <v>107</v>
      </c>
      <c r="C45" s="18" t="s">
        <v>13</v>
      </c>
      <c r="D45" s="19">
        <v>133</v>
      </c>
      <c r="E45" s="68"/>
      <c r="F45" s="5">
        <f t="shared" si="3"/>
        <v>0</v>
      </c>
      <c r="G45" s="5"/>
      <c r="H45" s="142">
        <f t="shared" si="0"/>
        <v>0</v>
      </c>
      <c r="I45" s="5"/>
      <c r="J45" s="10">
        <f t="shared" si="1"/>
        <v>0</v>
      </c>
      <c r="K45" s="142">
        <f t="shared" si="2"/>
        <v>0</v>
      </c>
    </row>
    <row r="46" spans="1:13" x14ac:dyDescent="0.35">
      <c r="A46" s="354"/>
      <c r="B46" s="13" t="s">
        <v>296</v>
      </c>
      <c r="C46" s="2" t="s">
        <v>13</v>
      </c>
      <c r="D46" s="5">
        <f>1.05*D45</f>
        <v>139.65</v>
      </c>
      <c r="E46" s="5"/>
      <c r="F46" s="5">
        <f t="shared" si="3"/>
        <v>0</v>
      </c>
      <c r="G46" s="5"/>
      <c r="H46" s="142">
        <f t="shared" si="0"/>
        <v>0</v>
      </c>
      <c r="I46" s="5"/>
      <c r="J46" s="10">
        <f t="shared" si="1"/>
        <v>0</v>
      </c>
      <c r="K46" s="142">
        <f t="shared" si="2"/>
        <v>0</v>
      </c>
    </row>
    <row r="47" spans="1:13" x14ac:dyDescent="0.35">
      <c r="A47" s="354"/>
      <c r="B47" s="13" t="s">
        <v>297</v>
      </c>
      <c r="C47" s="2" t="s">
        <v>40</v>
      </c>
      <c r="D47" s="5">
        <f>6*D45</f>
        <v>798</v>
      </c>
      <c r="E47" s="5"/>
      <c r="F47" s="5">
        <f t="shared" si="3"/>
        <v>0</v>
      </c>
      <c r="G47" s="5"/>
      <c r="H47" s="142">
        <f t="shared" si="0"/>
        <v>0</v>
      </c>
      <c r="I47" s="5"/>
      <c r="J47" s="10">
        <f t="shared" si="1"/>
        <v>0</v>
      </c>
      <c r="K47" s="142">
        <f t="shared" si="2"/>
        <v>0</v>
      </c>
    </row>
    <row r="48" spans="1:13" x14ac:dyDescent="0.35">
      <c r="A48" s="354"/>
      <c r="B48" s="13" t="s">
        <v>298</v>
      </c>
      <c r="C48" s="2" t="s">
        <v>40</v>
      </c>
      <c r="D48" s="5">
        <f>0.04*D45</f>
        <v>5.32</v>
      </c>
      <c r="E48" s="5"/>
      <c r="F48" s="5">
        <f t="shared" si="3"/>
        <v>0</v>
      </c>
      <c r="G48" s="5"/>
      <c r="H48" s="142">
        <f t="shared" si="0"/>
        <v>0</v>
      </c>
      <c r="I48" s="5"/>
      <c r="J48" s="10">
        <f t="shared" si="1"/>
        <v>0</v>
      </c>
      <c r="K48" s="142">
        <f t="shared" si="2"/>
        <v>0</v>
      </c>
    </row>
    <row r="49" spans="1:11" x14ac:dyDescent="0.35">
      <c r="A49" s="355"/>
      <c r="B49" s="13" t="s">
        <v>38</v>
      </c>
      <c r="C49" s="2" t="s">
        <v>1</v>
      </c>
      <c r="D49" s="5">
        <f>(D45)*0.03</f>
        <v>3.9899999999999998</v>
      </c>
      <c r="E49" s="5"/>
      <c r="F49" s="5">
        <f t="shared" si="3"/>
        <v>0</v>
      </c>
      <c r="G49" s="5"/>
      <c r="H49" s="142">
        <f t="shared" si="0"/>
        <v>0</v>
      </c>
      <c r="I49" s="5"/>
      <c r="J49" s="10">
        <f t="shared" si="1"/>
        <v>0</v>
      </c>
      <c r="K49" s="142">
        <f t="shared" si="2"/>
        <v>0</v>
      </c>
    </row>
    <row r="50" spans="1:11" ht="20.149999999999999" customHeight="1" x14ac:dyDescent="0.35">
      <c r="A50" s="302"/>
      <c r="B50" s="298" t="s">
        <v>182</v>
      </c>
      <c r="C50" s="278"/>
      <c r="D50" s="279"/>
      <c r="E50" s="279"/>
      <c r="F50" s="279">
        <f t="shared" si="3"/>
        <v>0</v>
      </c>
      <c r="G50" s="279"/>
      <c r="H50" s="279">
        <f t="shared" si="0"/>
        <v>0</v>
      </c>
      <c r="I50" s="279"/>
      <c r="J50" s="295">
        <f t="shared" si="1"/>
        <v>0</v>
      </c>
      <c r="K50" s="279">
        <f t="shared" si="2"/>
        <v>0</v>
      </c>
    </row>
    <row r="51" spans="1:11" ht="40.5" x14ac:dyDescent="0.35">
      <c r="A51" s="11" t="s">
        <v>25</v>
      </c>
      <c r="B51" s="85" t="s">
        <v>260</v>
      </c>
      <c r="C51" s="18" t="s">
        <v>13</v>
      </c>
      <c r="D51" s="19">
        <v>94</v>
      </c>
      <c r="E51" s="68"/>
      <c r="F51" s="5">
        <f t="shared" si="3"/>
        <v>0</v>
      </c>
      <c r="G51" s="5"/>
      <c r="H51" s="142">
        <f t="shared" si="0"/>
        <v>0</v>
      </c>
      <c r="I51" s="5"/>
      <c r="J51" s="10">
        <f t="shared" si="1"/>
        <v>0</v>
      </c>
      <c r="K51" s="142">
        <f t="shared" si="2"/>
        <v>0</v>
      </c>
    </row>
    <row r="52" spans="1:11" ht="27" x14ac:dyDescent="0.35">
      <c r="A52" s="358" t="s">
        <v>27</v>
      </c>
      <c r="B52" s="85" t="s">
        <v>261</v>
      </c>
      <c r="C52" s="18" t="s">
        <v>13</v>
      </c>
      <c r="D52" s="19">
        <f>(1.6+1.8)*3*9</f>
        <v>91.800000000000011</v>
      </c>
      <c r="E52" s="68"/>
      <c r="F52" s="5">
        <f t="shared" si="3"/>
        <v>0</v>
      </c>
      <c r="G52" s="5"/>
      <c r="H52" s="142">
        <f t="shared" si="0"/>
        <v>0</v>
      </c>
      <c r="I52" s="5"/>
      <c r="J52" s="10">
        <f t="shared" si="1"/>
        <v>0</v>
      </c>
      <c r="K52" s="142">
        <f t="shared" si="2"/>
        <v>0</v>
      </c>
    </row>
    <row r="53" spans="1:11" x14ac:dyDescent="0.35">
      <c r="A53" s="359"/>
      <c r="B53" s="86" t="s">
        <v>299</v>
      </c>
      <c r="C53" s="2" t="s">
        <v>13</v>
      </c>
      <c r="D53" s="5">
        <f>94*1.05</f>
        <v>98.7</v>
      </c>
      <c r="E53" s="5"/>
      <c r="F53" s="5">
        <f t="shared" si="3"/>
        <v>0</v>
      </c>
      <c r="G53" s="5"/>
      <c r="H53" s="142">
        <f t="shared" si="0"/>
        <v>0</v>
      </c>
      <c r="I53" s="5"/>
      <c r="J53" s="10">
        <f t="shared" si="1"/>
        <v>0</v>
      </c>
      <c r="K53" s="142">
        <f t="shared" si="2"/>
        <v>0</v>
      </c>
    </row>
    <row r="54" spans="1:11" x14ac:dyDescent="0.35">
      <c r="A54" s="359"/>
      <c r="B54" s="86" t="s">
        <v>300</v>
      </c>
      <c r="C54" s="2" t="s">
        <v>13</v>
      </c>
      <c r="D54" s="5">
        <f>(94+91.8)*1.05</f>
        <v>195.09000000000003</v>
      </c>
      <c r="E54" s="5"/>
      <c r="F54" s="5">
        <f t="shared" si="3"/>
        <v>0</v>
      </c>
      <c r="G54" s="5"/>
      <c r="H54" s="142">
        <f t="shared" si="0"/>
        <v>0</v>
      </c>
      <c r="I54" s="5"/>
      <c r="J54" s="10">
        <f t="shared" si="1"/>
        <v>0</v>
      </c>
      <c r="K54" s="142">
        <f t="shared" si="2"/>
        <v>0</v>
      </c>
    </row>
    <row r="55" spans="1:11" x14ac:dyDescent="0.35">
      <c r="A55" s="359"/>
      <c r="B55" s="86" t="s">
        <v>183</v>
      </c>
      <c r="C55" s="2" t="s">
        <v>13</v>
      </c>
      <c r="D55" s="5">
        <f>D51</f>
        <v>94</v>
      </c>
      <c r="E55" s="5"/>
      <c r="F55" s="5">
        <f t="shared" si="3"/>
        <v>0</v>
      </c>
      <c r="G55" s="5"/>
      <c r="H55" s="142">
        <f t="shared" si="0"/>
        <v>0</v>
      </c>
      <c r="I55" s="5"/>
      <c r="J55" s="10">
        <f t="shared" si="1"/>
        <v>0</v>
      </c>
      <c r="K55" s="142">
        <f t="shared" si="2"/>
        <v>0</v>
      </c>
    </row>
    <row r="56" spans="1:11" x14ac:dyDescent="0.35">
      <c r="A56" s="359"/>
      <c r="B56" s="86" t="s">
        <v>184</v>
      </c>
      <c r="C56" s="2" t="s">
        <v>13</v>
      </c>
      <c r="D56" s="5">
        <f>D52</f>
        <v>91.800000000000011</v>
      </c>
      <c r="E56" s="5"/>
      <c r="F56" s="5">
        <f t="shared" si="3"/>
        <v>0</v>
      </c>
      <c r="G56" s="5"/>
      <c r="H56" s="142">
        <f t="shared" si="0"/>
        <v>0</v>
      </c>
      <c r="I56" s="5"/>
      <c r="J56" s="10">
        <f t="shared" si="1"/>
        <v>0</v>
      </c>
      <c r="K56" s="142">
        <f t="shared" si="2"/>
        <v>0</v>
      </c>
    </row>
    <row r="57" spans="1:11" ht="27" x14ac:dyDescent="0.35">
      <c r="A57" s="359"/>
      <c r="B57" s="86" t="s">
        <v>301</v>
      </c>
      <c r="C57" s="2" t="s">
        <v>13</v>
      </c>
      <c r="D57" s="5">
        <f>D51*1.02</f>
        <v>95.88</v>
      </c>
      <c r="E57" s="5"/>
      <c r="F57" s="5">
        <f t="shared" si="3"/>
        <v>0</v>
      </c>
      <c r="G57" s="5"/>
      <c r="H57" s="142">
        <f t="shared" si="0"/>
        <v>0</v>
      </c>
      <c r="I57" s="5"/>
      <c r="J57" s="10">
        <f t="shared" si="1"/>
        <v>0</v>
      </c>
      <c r="K57" s="142">
        <f t="shared" si="2"/>
        <v>0</v>
      </c>
    </row>
    <row r="58" spans="1:11" x14ac:dyDescent="0.35">
      <c r="A58" s="360"/>
      <c r="B58" s="13" t="s">
        <v>38</v>
      </c>
      <c r="C58" s="2" t="s">
        <v>1</v>
      </c>
      <c r="D58" s="5">
        <f>D51*0.05+D52*0.05</f>
        <v>9.2900000000000009</v>
      </c>
      <c r="E58" s="5"/>
      <c r="F58" s="5">
        <f t="shared" si="3"/>
        <v>0</v>
      </c>
      <c r="G58" s="5"/>
      <c r="H58" s="142">
        <f t="shared" si="0"/>
        <v>0</v>
      </c>
      <c r="I58" s="5"/>
      <c r="J58" s="10">
        <f t="shared" si="1"/>
        <v>0</v>
      </c>
      <c r="K58" s="142">
        <f t="shared" si="2"/>
        <v>0</v>
      </c>
    </row>
    <row r="59" spans="1:11" ht="27" x14ac:dyDescent="0.35">
      <c r="A59" s="358" t="s">
        <v>30</v>
      </c>
      <c r="B59" s="17" t="s">
        <v>483</v>
      </c>
      <c r="C59" s="18" t="s">
        <v>13</v>
      </c>
      <c r="D59" s="19">
        <v>320</v>
      </c>
      <c r="E59" s="68"/>
      <c r="F59" s="5">
        <f t="shared" si="3"/>
        <v>0</v>
      </c>
      <c r="G59" s="5"/>
      <c r="H59" s="142">
        <f t="shared" si="0"/>
        <v>0</v>
      </c>
      <c r="I59" s="5"/>
      <c r="J59" s="10">
        <f t="shared" si="1"/>
        <v>0</v>
      </c>
      <c r="K59" s="142">
        <f t="shared" si="2"/>
        <v>0</v>
      </c>
    </row>
    <row r="60" spans="1:11" x14ac:dyDescent="0.35">
      <c r="A60" s="359"/>
      <c r="B60" s="13" t="s">
        <v>302</v>
      </c>
      <c r="C60" s="2" t="s">
        <v>29</v>
      </c>
      <c r="D60" s="5">
        <f>0.034*D59</f>
        <v>10.88</v>
      </c>
      <c r="E60" s="5"/>
      <c r="F60" s="5">
        <f t="shared" si="3"/>
        <v>0</v>
      </c>
      <c r="G60" s="5"/>
      <c r="H60" s="142">
        <f t="shared" si="0"/>
        <v>0</v>
      </c>
      <c r="I60" s="5"/>
      <c r="J60" s="10">
        <f t="shared" si="1"/>
        <v>0</v>
      </c>
      <c r="K60" s="142">
        <f t="shared" si="2"/>
        <v>0</v>
      </c>
    </row>
    <row r="61" spans="1:11" x14ac:dyDescent="0.35">
      <c r="A61" s="359"/>
      <c r="B61" s="13" t="s">
        <v>303</v>
      </c>
      <c r="C61" s="2" t="s">
        <v>32</v>
      </c>
      <c r="D61" s="5">
        <f>0.0114*D59</f>
        <v>3.6480000000000001</v>
      </c>
      <c r="E61" s="5"/>
      <c r="F61" s="5">
        <f t="shared" si="3"/>
        <v>0</v>
      </c>
      <c r="G61" s="5"/>
      <c r="H61" s="142">
        <f t="shared" si="0"/>
        <v>0</v>
      </c>
      <c r="I61" s="5"/>
      <c r="J61" s="10">
        <f t="shared" si="1"/>
        <v>0</v>
      </c>
      <c r="K61" s="142">
        <f t="shared" si="2"/>
        <v>0</v>
      </c>
    </row>
    <row r="62" spans="1:11" x14ac:dyDescent="0.35">
      <c r="A62" s="360"/>
      <c r="B62" s="13" t="s">
        <v>38</v>
      </c>
      <c r="C62" s="2" t="s">
        <v>1</v>
      </c>
      <c r="D62" s="5">
        <f>D59*0.1</f>
        <v>32</v>
      </c>
      <c r="E62" s="5"/>
      <c r="F62" s="5">
        <f t="shared" si="3"/>
        <v>0</v>
      </c>
      <c r="G62" s="5"/>
      <c r="H62" s="142">
        <f t="shared" si="0"/>
        <v>0</v>
      </c>
      <c r="I62" s="5"/>
      <c r="J62" s="10">
        <f t="shared" si="1"/>
        <v>0</v>
      </c>
      <c r="K62" s="142">
        <f t="shared" si="2"/>
        <v>0</v>
      </c>
    </row>
    <row r="63" spans="1:11" x14ac:dyDescent="0.35">
      <c r="A63" s="353" t="s">
        <v>35</v>
      </c>
      <c r="B63" s="200" t="s">
        <v>125</v>
      </c>
      <c r="C63" s="201" t="s">
        <v>13</v>
      </c>
      <c r="D63" s="148">
        <v>312</v>
      </c>
      <c r="E63" s="148"/>
      <c r="F63" s="187">
        <f t="shared" si="3"/>
        <v>0</v>
      </c>
      <c r="G63" s="187"/>
      <c r="H63" s="187">
        <f t="shared" si="0"/>
        <v>0</v>
      </c>
      <c r="I63" s="187"/>
      <c r="J63" s="188">
        <f t="shared" si="1"/>
        <v>0</v>
      </c>
      <c r="K63" s="187">
        <f t="shared" si="2"/>
        <v>0</v>
      </c>
    </row>
    <row r="64" spans="1:11" x14ac:dyDescent="0.35">
      <c r="A64" s="354"/>
      <c r="B64" s="13" t="s">
        <v>304</v>
      </c>
      <c r="C64" s="2" t="s">
        <v>13</v>
      </c>
      <c r="D64" s="5">
        <f>1.03*D63</f>
        <v>321.36</v>
      </c>
      <c r="E64" s="5"/>
      <c r="F64" s="5">
        <f t="shared" si="3"/>
        <v>0</v>
      </c>
      <c r="G64" s="5"/>
      <c r="H64" s="142">
        <f t="shared" si="0"/>
        <v>0</v>
      </c>
      <c r="I64" s="5"/>
      <c r="J64" s="10">
        <f t="shared" si="1"/>
        <v>0</v>
      </c>
      <c r="K64" s="142">
        <f t="shared" si="2"/>
        <v>0</v>
      </c>
    </row>
    <row r="65" spans="1:11" x14ac:dyDescent="0.35">
      <c r="A65" s="354"/>
      <c r="B65" s="13" t="s">
        <v>305</v>
      </c>
      <c r="C65" s="2" t="s">
        <v>40</v>
      </c>
      <c r="D65" s="5">
        <f>5*D63</f>
        <v>1560</v>
      </c>
      <c r="E65" s="5"/>
      <c r="F65" s="5">
        <f t="shared" si="3"/>
        <v>0</v>
      </c>
      <c r="G65" s="5"/>
      <c r="H65" s="142">
        <f t="shared" si="0"/>
        <v>0</v>
      </c>
      <c r="I65" s="5"/>
      <c r="J65" s="10">
        <f t="shared" si="1"/>
        <v>0</v>
      </c>
      <c r="K65" s="142">
        <f t="shared" si="2"/>
        <v>0</v>
      </c>
    </row>
    <row r="66" spans="1:11" x14ac:dyDescent="0.35">
      <c r="A66" s="354"/>
      <c r="B66" s="13" t="s">
        <v>306</v>
      </c>
      <c r="C66" s="2" t="s">
        <v>40</v>
      </c>
      <c r="D66" s="5">
        <f>0.04*D63</f>
        <v>12.48</v>
      </c>
      <c r="E66" s="5"/>
      <c r="F66" s="5">
        <f t="shared" si="3"/>
        <v>0</v>
      </c>
      <c r="G66" s="5"/>
      <c r="H66" s="142">
        <f t="shared" si="0"/>
        <v>0</v>
      </c>
      <c r="I66" s="5"/>
      <c r="J66" s="10">
        <f t="shared" si="1"/>
        <v>0</v>
      </c>
      <c r="K66" s="142">
        <f t="shared" si="2"/>
        <v>0</v>
      </c>
    </row>
    <row r="67" spans="1:11" x14ac:dyDescent="0.35">
      <c r="A67" s="355"/>
      <c r="B67" s="13" t="s">
        <v>38</v>
      </c>
      <c r="C67" s="2" t="s">
        <v>1</v>
      </c>
      <c r="D67" s="5">
        <f>D63*0.05</f>
        <v>15.600000000000001</v>
      </c>
      <c r="E67" s="5"/>
      <c r="F67" s="5">
        <f t="shared" si="3"/>
        <v>0</v>
      </c>
      <c r="G67" s="5"/>
      <c r="H67" s="142">
        <f t="shared" si="0"/>
        <v>0</v>
      </c>
      <c r="I67" s="5"/>
      <c r="J67" s="10">
        <f t="shared" si="1"/>
        <v>0</v>
      </c>
      <c r="K67" s="142">
        <f t="shared" si="2"/>
        <v>0</v>
      </c>
    </row>
    <row r="68" spans="1:11" ht="27" x14ac:dyDescent="0.35">
      <c r="A68" s="353" t="s">
        <v>83</v>
      </c>
      <c r="B68" s="17" t="s">
        <v>36</v>
      </c>
      <c r="C68" s="18" t="s">
        <v>22</v>
      </c>
      <c r="D68" s="19">
        <v>30</v>
      </c>
      <c r="E68" s="5"/>
      <c r="F68" s="5">
        <f t="shared" si="3"/>
        <v>0</v>
      </c>
      <c r="G68" s="5"/>
      <c r="H68" s="142">
        <f t="shared" si="0"/>
        <v>0</v>
      </c>
      <c r="I68" s="5"/>
      <c r="J68" s="10">
        <f t="shared" si="1"/>
        <v>0</v>
      </c>
      <c r="K68" s="142">
        <f t="shared" si="2"/>
        <v>0</v>
      </c>
    </row>
    <row r="69" spans="1:11" x14ac:dyDescent="0.35">
      <c r="A69" s="354"/>
      <c r="B69" s="13" t="s">
        <v>37</v>
      </c>
      <c r="C69" s="2" t="s">
        <v>22</v>
      </c>
      <c r="D69" s="5">
        <v>30</v>
      </c>
      <c r="E69" s="5"/>
      <c r="F69" s="5">
        <f t="shared" si="3"/>
        <v>0</v>
      </c>
      <c r="G69" s="5"/>
      <c r="H69" s="142">
        <f t="shared" si="0"/>
        <v>0</v>
      </c>
      <c r="I69" s="5"/>
      <c r="J69" s="10">
        <f t="shared" si="1"/>
        <v>0</v>
      </c>
      <c r="K69" s="142">
        <f t="shared" si="2"/>
        <v>0</v>
      </c>
    </row>
    <row r="70" spans="1:11" x14ac:dyDescent="0.35">
      <c r="A70" s="355"/>
      <c r="B70" s="13" t="s">
        <v>38</v>
      </c>
      <c r="C70" s="2" t="s">
        <v>1</v>
      </c>
      <c r="D70" s="5">
        <f>D68*0.1</f>
        <v>3</v>
      </c>
      <c r="E70" s="5"/>
      <c r="F70" s="5">
        <f t="shared" si="3"/>
        <v>0</v>
      </c>
      <c r="G70" s="5"/>
      <c r="H70" s="142">
        <f t="shared" ref="H70:H134" si="4">G70*D70</f>
        <v>0</v>
      </c>
      <c r="I70" s="5"/>
      <c r="J70" s="10">
        <f t="shared" ref="J70:J134" si="5">I70*D70</f>
        <v>0</v>
      </c>
      <c r="K70" s="142">
        <f t="shared" ref="K70:K134" si="6">J70+H70+F70</f>
        <v>0</v>
      </c>
    </row>
    <row r="71" spans="1:11" ht="27" x14ac:dyDescent="0.35">
      <c r="A71" s="353" t="s">
        <v>39</v>
      </c>
      <c r="B71" s="200" t="s">
        <v>469</v>
      </c>
      <c r="C71" s="201" t="s">
        <v>13</v>
      </c>
      <c r="D71" s="148">
        <v>1930</v>
      </c>
      <c r="E71" s="187"/>
      <c r="F71" s="187">
        <f t="shared" si="3"/>
        <v>0</v>
      </c>
      <c r="G71" s="187"/>
      <c r="H71" s="187">
        <f t="shared" si="4"/>
        <v>0</v>
      </c>
      <c r="I71" s="187"/>
      <c r="J71" s="188">
        <f t="shared" si="5"/>
        <v>0</v>
      </c>
      <c r="K71" s="187">
        <f t="shared" si="6"/>
        <v>0</v>
      </c>
    </row>
    <row r="72" spans="1:11" x14ac:dyDescent="0.35">
      <c r="A72" s="354"/>
      <c r="B72" s="13" t="s">
        <v>307</v>
      </c>
      <c r="C72" s="2" t="s">
        <v>40</v>
      </c>
      <c r="D72" s="5">
        <f>0.25*D71</f>
        <v>482.5</v>
      </c>
      <c r="E72" s="5"/>
      <c r="F72" s="5">
        <f t="shared" si="3"/>
        <v>0</v>
      </c>
      <c r="G72" s="5"/>
      <c r="H72" s="142">
        <f t="shared" si="4"/>
        <v>0</v>
      </c>
      <c r="I72" s="5"/>
      <c r="J72" s="10">
        <f t="shared" si="5"/>
        <v>0</v>
      </c>
      <c r="K72" s="142">
        <f t="shared" si="6"/>
        <v>0</v>
      </c>
    </row>
    <row r="73" spans="1:11" x14ac:dyDescent="0.35">
      <c r="A73" s="354"/>
      <c r="B73" s="13" t="s">
        <v>308</v>
      </c>
      <c r="C73" s="2" t="s">
        <v>40</v>
      </c>
      <c r="D73" s="5">
        <f>0.4*D71</f>
        <v>772</v>
      </c>
      <c r="E73" s="5"/>
      <c r="F73" s="5">
        <f t="shared" si="3"/>
        <v>0</v>
      </c>
      <c r="G73" s="5"/>
      <c r="H73" s="142">
        <f t="shared" si="4"/>
        <v>0</v>
      </c>
      <c r="I73" s="5"/>
      <c r="J73" s="10">
        <f t="shared" si="5"/>
        <v>0</v>
      </c>
      <c r="K73" s="142">
        <f t="shared" si="6"/>
        <v>0</v>
      </c>
    </row>
    <row r="74" spans="1:11" x14ac:dyDescent="0.35">
      <c r="A74" s="354"/>
      <c r="B74" s="13" t="s">
        <v>309</v>
      </c>
      <c r="C74" s="2" t="s">
        <v>40</v>
      </c>
      <c r="D74" s="5">
        <f>0.15*D71</f>
        <v>289.5</v>
      </c>
      <c r="E74" s="5"/>
      <c r="F74" s="5">
        <f t="shared" si="3"/>
        <v>0</v>
      </c>
      <c r="G74" s="5"/>
      <c r="H74" s="142">
        <f t="shared" si="4"/>
        <v>0</v>
      </c>
      <c r="I74" s="5"/>
      <c r="J74" s="10">
        <f t="shared" si="5"/>
        <v>0</v>
      </c>
      <c r="K74" s="142">
        <f t="shared" si="6"/>
        <v>0</v>
      </c>
    </row>
    <row r="75" spans="1:11" x14ac:dyDescent="0.35">
      <c r="A75" s="354"/>
      <c r="B75" s="13" t="s">
        <v>310</v>
      </c>
      <c r="C75" s="2" t="s">
        <v>40</v>
      </c>
      <c r="D75" s="5">
        <f>0.4*D71*0.2</f>
        <v>154.4</v>
      </c>
      <c r="E75" s="5"/>
      <c r="F75" s="5">
        <f t="shared" si="3"/>
        <v>0</v>
      </c>
      <c r="G75" s="5"/>
      <c r="H75" s="142">
        <f t="shared" si="4"/>
        <v>0</v>
      </c>
      <c r="I75" s="5"/>
      <c r="J75" s="10">
        <f t="shared" si="5"/>
        <v>0</v>
      </c>
      <c r="K75" s="142">
        <f t="shared" si="6"/>
        <v>0</v>
      </c>
    </row>
    <row r="76" spans="1:11" x14ac:dyDescent="0.35">
      <c r="A76" s="354"/>
      <c r="B76" s="13" t="s">
        <v>311</v>
      </c>
      <c r="C76" s="2" t="s">
        <v>13</v>
      </c>
      <c r="D76" s="5">
        <f>0.009*D71</f>
        <v>17.369999999999997</v>
      </c>
      <c r="E76" s="5"/>
      <c r="F76" s="5">
        <f t="shared" si="3"/>
        <v>0</v>
      </c>
      <c r="G76" s="5"/>
      <c r="H76" s="142">
        <f t="shared" si="4"/>
        <v>0</v>
      </c>
      <c r="I76" s="5"/>
      <c r="J76" s="10">
        <f t="shared" si="5"/>
        <v>0</v>
      </c>
      <c r="K76" s="142">
        <f t="shared" si="6"/>
        <v>0</v>
      </c>
    </row>
    <row r="77" spans="1:11" x14ac:dyDescent="0.35">
      <c r="A77" s="354"/>
      <c r="B77" s="13" t="s">
        <v>312</v>
      </c>
      <c r="C77" s="2" t="s">
        <v>22</v>
      </c>
      <c r="D77" s="5">
        <f>0.4*D71</f>
        <v>772</v>
      </c>
      <c r="E77" s="5"/>
      <c r="F77" s="5">
        <f t="shared" si="3"/>
        <v>0</v>
      </c>
      <c r="G77" s="5"/>
      <c r="H77" s="142">
        <f t="shared" si="4"/>
        <v>0</v>
      </c>
      <c r="I77" s="5"/>
      <c r="J77" s="10">
        <f t="shared" si="5"/>
        <v>0</v>
      </c>
      <c r="K77" s="142">
        <f t="shared" si="6"/>
        <v>0</v>
      </c>
    </row>
    <row r="78" spans="1:11" x14ac:dyDescent="0.35">
      <c r="A78" s="354"/>
      <c r="B78" s="13" t="s">
        <v>313</v>
      </c>
      <c r="C78" s="2" t="s">
        <v>22</v>
      </c>
      <c r="D78" s="5">
        <f>0.3*D71</f>
        <v>579</v>
      </c>
      <c r="E78" s="5"/>
      <c r="F78" s="5">
        <f t="shared" si="3"/>
        <v>0</v>
      </c>
      <c r="G78" s="5"/>
      <c r="H78" s="142">
        <f t="shared" si="4"/>
        <v>0</v>
      </c>
      <c r="I78" s="5"/>
      <c r="J78" s="10">
        <f t="shared" si="5"/>
        <v>0</v>
      </c>
      <c r="K78" s="142">
        <f t="shared" si="6"/>
        <v>0</v>
      </c>
    </row>
    <row r="79" spans="1:11" x14ac:dyDescent="0.35">
      <c r="A79" s="355"/>
      <c r="B79" s="13" t="s">
        <v>38</v>
      </c>
      <c r="C79" s="2" t="s">
        <v>1</v>
      </c>
      <c r="D79" s="5">
        <f>D71*0.02</f>
        <v>38.6</v>
      </c>
      <c r="E79" s="5"/>
      <c r="F79" s="5">
        <f t="shared" si="3"/>
        <v>0</v>
      </c>
      <c r="G79" s="5"/>
      <c r="H79" s="142">
        <f t="shared" si="4"/>
        <v>0</v>
      </c>
      <c r="I79" s="5"/>
      <c r="J79" s="10">
        <f t="shared" si="5"/>
        <v>0</v>
      </c>
      <c r="K79" s="142">
        <f t="shared" si="6"/>
        <v>0</v>
      </c>
    </row>
    <row r="80" spans="1:11" ht="27" x14ac:dyDescent="0.35">
      <c r="A80" s="353" t="s">
        <v>41</v>
      </c>
      <c r="B80" s="17" t="s">
        <v>314</v>
      </c>
      <c r="C80" s="18" t="s">
        <v>13</v>
      </c>
      <c r="D80" s="19">
        <v>153</v>
      </c>
      <c r="E80" s="142"/>
      <c r="F80" s="5">
        <f t="shared" si="3"/>
        <v>0</v>
      </c>
      <c r="G80" s="142"/>
      <c r="H80" s="142">
        <f t="shared" si="4"/>
        <v>0</v>
      </c>
      <c r="I80" s="142"/>
      <c r="J80" s="10">
        <f t="shared" si="5"/>
        <v>0</v>
      </c>
      <c r="K80" s="142">
        <f t="shared" si="6"/>
        <v>0</v>
      </c>
    </row>
    <row r="81" spans="1:11" x14ac:dyDescent="0.35">
      <c r="A81" s="354"/>
      <c r="B81" s="13" t="s">
        <v>315</v>
      </c>
      <c r="C81" s="2" t="s">
        <v>40</v>
      </c>
      <c r="D81" s="142">
        <f>0.25*D80</f>
        <v>38.25</v>
      </c>
      <c r="E81" s="5"/>
      <c r="F81" s="5">
        <f t="shared" si="3"/>
        <v>0</v>
      </c>
      <c r="G81" s="142"/>
      <c r="H81" s="142">
        <f t="shared" si="4"/>
        <v>0</v>
      </c>
      <c r="I81" s="142"/>
      <c r="J81" s="10">
        <f t="shared" si="5"/>
        <v>0</v>
      </c>
      <c r="K81" s="142">
        <f t="shared" si="6"/>
        <v>0</v>
      </c>
    </row>
    <row r="82" spans="1:11" x14ac:dyDescent="0.35">
      <c r="A82" s="354"/>
      <c r="B82" s="13" t="s">
        <v>316</v>
      </c>
      <c r="C82" s="2" t="s">
        <v>40</v>
      </c>
      <c r="D82" s="5">
        <f>0.4*D80</f>
        <v>61.2</v>
      </c>
      <c r="E82" s="5"/>
      <c r="F82" s="5">
        <f t="shared" si="3"/>
        <v>0</v>
      </c>
      <c r="G82" s="142"/>
      <c r="H82" s="142">
        <f t="shared" si="4"/>
        <v>0</v>
      </c>
      <c r="I82" s="142"/>
      <c r="J82" s="10">
        <f t="shared" si="5"/>
        <v>0</v>
      </c>
      <c r="K82" s="142">
        <f t="shared" si="6"/>
        <v>0</v>
      </c>
    </row>
    <row r="83" spans="1:11" x14ac:dyDescent="0.35">
      <c r="A83" s="354"/>
      <c r="B83" s="13" t="s">
        <v>317</v>
      </c>
      <c r="C83" s="2" t="s">
        <v>40</v>
      </c>
      <c r="D83" s="5">
        <f>0.15*D80</f>
        <v>22.95</v>
      </c>
      <c r="E83" s="5"/>
      <c r="F83" s="5">
        <f t="shared" si="3"/>
        <v>0</v>
      </c>
      <c r="G83" s="142"/>
      <c r="H83" s="142">
        <f t="shared" si="4"/>
        <v>0</v>
      </c>
      <c r="I83" s="142"/>
      <c r="J83" s="10">
        <f t="shared" si="5"/>
        <v>0</v>
      </c>
      <c r="K83" s="142">
        <f t="shared" si="6"/>
        <v>0</v>
      </c>
    </row>
    <row r="84" spans="1:11" x14ac:dyDescent="0.35">
      <c r="A84" s="354"/>
      <c r="B84" s="13" t="s">
        <v>318</v>
      </c>
      <c r="C84" s="2" t="s">
        <v>40</v>
      </c>
      <c r="D84" s="5">
        <f>0.08*D80</f>
        <v>12.24</v>
      </c>
      <c r="E84" s="5"/>
      <c r="F84" s="5">
        <f t="shared" si="3"/>
        <v>0</v>
      </c>
      <c r="G84" s="142"/>
      <c r="H84" s="142">
        <f t="shared" si="4"/>
        <v>0</v>
      </c>
      <c r="I84" s="142"/>
      <c r="J84" s="10">
        <f t="shared" si="5"/>
        <v>0</v>
      </c>
      <c r="K84" s="142">
        <f t="shared" si="6"/>
        <v>0</v>
      </c>
    </row>
    <row r="85" spans="1:11" x14ac:dyDescent="0.35">
      <c r="A85" s="354"/>
      <c r="B85" s="13" t="s">
        <v>319</v>
      </c>
      <c r="C85" s="2" t="s">
        <v>13</v>
      </c>
      <c r="D85" s="5">
        <f>0.009*D80</f>
        <v>1.377</v>
      </c>
      <c r="E85" s="5"/>
      <c r="F85" s="5">
        <f t="shared" si="3"/>
        <v>0</v>
      </c>
      <c r="G85" s="142"/>
      <c r="H85" s="142">
        <f t="shared" si="4"/>
        <v>0</v>
      </c>
      <c r="I85" s="142"/>
      <c r="J85" s="10">
        <f t="shared" si="5"/>
        <v>0</v>
      </c>
      <c r="K85" s="142">
        <f t="shared" si="6"/>
        <v>0</v>
      </c>
    </row>
    <row r="86" spans="1:11" x14ac:dyDescent="0.35">
      <c r="A86" s="354"/>
      <c r="B86" s="13" t="s">
        <v>320</v>
      </c>
      <c r="C86" s="2" t="s">
        <v>22</v>
      </c>
      <c r="D86" s="5">
        <f>0.4*D80</f>
        <v>61.2</v>
      </c>
      <c r="E86" s="5"/>
      <c r="F86" s="5">
        <f t="shared" si="3"/>
        <v>0</v>
      </c>
      <c r="G86" s="142"/>
      <c r="H86" s="142">
        <f t="shared" si="4"/>
        <v>0</v>
      </c>
      <c r="I86" s="142"/>
      <c r="J86" s="10">
        <f t="shared" si="5"/>
        <v>0</v>
      </c>
      <c r="K86" s="142">
        <f t="shared" si="6"/>
        <v>0</v>
      </c>
    </row>
    <row r="87" spans="1:11" x14ac:dyDescent="0.35">
      <c r="A87" s="354"/>
      <c r="B87" s="13" t="s">
        <v>321</v>
      </c>
      <c r="C87" s="2" t="s">
        <v>22</v>
      </c>
      <c r="D87" s="5">
        <f>0.3*D80</f>
        <v>45.9</v>
      </c>
      <c r="E87" s="5"/>
      <c r="F87" s="5">
        <f t="shared" si="3"/>
        <v>0</v>
      </c>
      <c r="G87" s="142"/>
      <c r="H87" s="142">
        <f t="shared" si="4"/>
        <v>0</v>
      </c>
      <c r="I87" s="142"/>
      <c r="J87" s="10">
        <f t="shared" si="5"/>
        <v>0</v>
      </c>
      <c r="K87" s="142">
        <f t="shared" si="6"/>
        <v>0</v>
      </c>
    </row>
    <row r="88" spans="1:11" x14ac:dyDescent="0.35">
      <c r="A88" s="165"/>
      <c r="B88" s="13" t="s">
        <v>38</v>
      </c>
      <c r="C88" s="2" t="s">
        <v>1</v>
      </c>
      <c r="D88" s="5">
        <f>D80*0.02</f>
        <v>3.06</v>
      </c>
      <c r="E88" s="5"/>
      <c r="F88" s="5">
        <f t="shared" si="3"/>
        <v>0</v>
      </c>
      <c r="G88" s="5"/>
      <c r="H88" s="142">
        <f t="shared" si="4"/>
        <v>0</v>
      </c>
      <c r="I88" s="5"/>
      <c r="J88" s="10">
        <f t="shared" si="5"/>
        <v>0</v>
      </c>
      <c r="K88" s="142">
        <f t="shared" si="6"/>
        <v>0</v>
      </c>
    </row>
    <row r="89" spans="1:11" ht="40.5" x14ac:dyDescent="0.35">
      <c r="A89" s="353" t="s">
        <v>46</v>
      </c>
      <c r="B89" s="17" t="s">
        <v>322</v>
      </c>
      <c r="C89" s="18" t="s">
        <v>13</v>
      </c>
      <c r="D89" s="19">
        <v>98.3</v>
      </c>
      <c r="E89" s="142"/>
      <c r="F89" s="5">
        <f t="shared" si="3"/>
        <v>0</v>
      </c>
      <c r="G89" s="142"/>
      <c r="H89" s="142">
        <f t="shared" si="4"/>
        <v>0</v>
      </c>
      <c r="I89" s="142"/>
      <c r="J89" s="10">
        <f t="shared" si="5"/>
        <v>0</v>
      </c>
      <c r="K89" s="142">
        <f t="shared" si="6"/>
        <v>0</v>
      </c>
    </row>
    <row r="90" spans="1:11" x14ac:dyDescent="0.35">
      <c r="A90" s="354"/>
      <c r="B90" s="13" t="s">
        <v>323</v>
      </c>
      <c r="C90" s="2" t="s">
        <v>40</v>
      </c>
      <c r="D90" s="142">
        <f>0.25*D89</f>
        <v>24.574999999999999</v>
      </c>
      <c r="E90" s="7"/>
      <c r="F90" s="5">
        <f t="shared" si="3"/>
        <v>0</v>
      </c>
      <c r="G90" s="142"/>
      <c r="H90" s="142">
        <f t="shared" si="4"/>
        <v>0</v>
      </c>
      <c r="I90" s="142"/>
      <c r="J90" s="10">
        <f t="shared" si="5"/>
        <v>0</v>
      </c>
      <c r="K90" s="142">
        <f t="shared" si="6"/>
        <v>0</v>
      </c>
    </row>
    <row r="91" spans="1:11" x14ac:dyDescent="0.35">
      <c r="A91" s="354"/>
      <c r="B91" s="13" t="s">
        <v>324</v>
      </c>
      <c r="C91" s="2" t="s">
        <v>40</v>
      </c>
      <c r="D91" s="5">
        <f>0.4*D89</f>
        <v>39.32</v>
      </c>
      <c r="E91" s="7"/>
      <c r="F91" s="5">
        <f t="shared" si="3"/>
        <v>0</v>
      </c>
      <c r="G91" s="142"/>
      <c r="H91" s="142">
        <f t="shared" si="4"/>
        <v>0</v>
      </c>
      <c r="I91" s="142"/>
      <c r="J91" s="10">
        <f t="shared" si="5"/>
        <v>0</v>
      </c>
      <c r="K91" s="142">
        <f t="shared" si="6"/>
        <v>0</v>
      </c>
    </row>
    <row r="92" spans="1:11" x14ac:dyDescent="0.35">
      <c r="A92" s="354"/>
      <c r="B92" s="13" t="s">
        <v>325</v>
      </c>
      <c r="C92" s="2" t="s">
        <v>40</v>
      </c>
      <c r="D92" s="5">
        <f>0.15*D89</f>
        <v>14.744999999999999</v>
      </c>
      <c r="E92" s="7"/>
      <c r="F92" s="5">
        <f t="shared" si="3"/>
        <v>0</v>
      </c>
      <c r="G92" s="142"/>
      <c r="H92" s="142">
        <f t="shared" si="4"/>
        <v>0</v>
      </c>
      <c r="I92" s="142"/>
      <c r="J92" s="10">
        <f t="shared" si="5"/>
        <v>0</v>
      </c>
      <c r="K92" s="142">
        <f t="shared" si="6"/>
        <v>0</v>
      </c>
    </row>
    <row r="93" spans="1:11" x14ac:dyDescent="0.35">
      <c r="A93" s="354"/>
      <c r="B93" s="13" t="s">
        <v>326</v>
      </c>
      <c r="C93" s="2" t="s">
        <v>40</v>
      </c>
      <c r="D93" s="5">
        <f>0.08*D89</f>
        <v>7.8639999999999999</v>
      </c>
      <c r="E93" s="7"/>
      <c r="F93" s="5">
        <f t="shared" si="3"/>
        <v>0</v>
      </c>
      <c r="G93" s="142"/>
      <c r="H93" s="142">
        <f t="shared" si="4"/>
        <v>0</v>
      </c>
      <c r="I93" s="142"/>
      <c r="J93" s="10">
        <f t="shared" si="5"/>
        <v>0</v>
      </c>
      <c r="K93" s="142">
        <f t="shared" si="6"/>
        <v>0</v>
      </c>
    </row>
    <row r="94" spans="1:11" x14ac:dyDescent="0.35">
      <c r="A94" s="354"/>
      <c r="B94" s="13" t="s">
        <v>327</v>
      </c>
      <c r="C94" s="2" t="s">
        <v>13</v>
      </c>
      <c r="D94" s="5">
        <f>0.009*D89</f>
        <v>0.88469999999999993</v>
      </c>
      <c r="E94" s="7"/>
      <c r="F94" s="5">
        <f t="shared" si="3"/>
        <v>0</v>
      </c>
      <c r="G94" s="142"/>
      <c r="H94" s="142">
        <f t="shared" si="4"/>
        <v>0</v>
      </c>
      <c r="I94" s="142"/>
      <c r="J94" s="10">
        <f t="shared" si="5"/>
        <v>0</v>
      </c>
      <c r="K94" s="142">
        <f t="shared" si="6"/>
        <v>0</v>
      </c>
    </row>
    <row r="95" spans="1:11" x14ac:dyDescent="0.35">
      <c r="A95" s="354"/>
      <c r="B95" s="13" t="s">
        <v>328</v>
      </c>
      <c r="C95" s="2" t="s">
        <v>22</v>
      </c>
      <c r="D95" s="5">
        <f>0.4*D89</f>
        <v>39.32</v>
      </c>
      <c r="E95" s="7"/>
      <c r="F95" s="5">
        <f t="shared" si="3"/>
        <v>0</v>
      </c>
      <c r="G95" s="142"/>
      <c r="H95" s="142">
        <f t="shared" si="4"/>
        <v>0</v>
      </c>
      <c r="I95" s="142"/>
      <c r="J95" s="10">
        <f t="shared" si="5"/>
        <v>0</v>
      </c>
      <c r="K95" s="142">
        <f t="shared" si="6"/>
        <v>0</v>
      </c>
    </row>
    <row r="96" spans="1:11" x14ac:dyDescent="0.35">
      <c r="A96" s="354"/>
      <c r="B96" s="13" t="s">
        <v>329</v>
      </c>
      <c r="C96" s="2" t="s">
        <v>22</v>
      </c>
      <c r="D96" s="5">
        <f>0.3*D89</f>
        <v>29.49</v>
      </c>
      <c r="E96" s="7"/>
      <c r="F96" s="5">
        <f t="shared" ref="F96:F160" si="7">E96*D96</f>
        <v>0</v>
      </c>
      <c r="G96" s="142"/>
      <c r="H96" s="142">
        <f t="shared" si="4"/>
        <v>0</v>
      </c>
      <c r="I96" s="142"/>
      <c r="J96" s="10">
        <f t="shared" si="5"/>
        <v>0</v>
      </c>
      <c r="K96" s="142">
        <f t="shared" si="6"/>
        <v>0</v>
      </c>
    </row>
    <row r="97" spans="1:11" x14ac:dyDescent="0.35">
      <c r="A97" s="354"/>
      <c r="B97" s="13" t="s">
        <v>38</v>
      </c>
      <c r="C97" s="2" t="s">
        <v>1</v>
      </c>
      <c r="D97" s="5">
        <f>D89*0.1</f>
        <v>9.83</v>
      </c>
      <c r="E97" s="5"/>
      <c r="F97" s="5">
        <f t="shared" si="7"/>
        <v>0</v>
      </c>
      <c r="G97" s="5"/>
      <c r="H97" s="142">
        <f t="shared" si="4"/>
        <v>0</v>
      </c>
      <c r="I97" s="5"/>
      <c r="J97" s="10">
        <f t="shared" si="5"/>
        <v>0</v>
      </c>
      <c r="K97" s="142">
        <f t="shared" si="6"/>
        <v>0</v>
      </c>
    </row>
    <row r="98" spans="1:11" ht="27" x14ac:dyDescent="0.35">
      <c r="A98" s="354" t="s">
        <v>51</v>
      </c>
      <c r="B98" s="17" t="s">
        <v>42</v>
      </c>
      <c r="C98" s="18" t="s">
        <v>13</v>
      </c>
      <c r="D98" s="20">
        <v>72</v>
      </c>
      <c r="E98" s="139"/>
      <c r="F98" s="5">
        <f t="shared" si="7"/>
        <v>0</v>
      </c>
      <c r="G98" s="139"/>
      <c r="H98" s="142">
        <f t="shared" si="4"/>
        <v>0</v>
      </c>
      <c r="I98" s="139"/>
      <c r="J98" s="10">
        <f t="shared" si="5"/>
        <v>0</v>
      </c>
      <c r="K98" s="142">
        <f t="shared" si="6"/>
        <v>0</v>
      </c>
    </row>
    <row r="99" spans="1:11" x14ac:dyDescent="0.35">
      <c r="A99" s="354"/>
      <c r="B99" s="13" t="s">
        <v>270</v>
      </c>
      <c r="C99" s="2" t="s">
        <v>40</v>
      </c>
      <c r="D99" s="5">
        <f>0.4*D98</f>
        <v>28.8</v>
      </c>
      <c r="E99" s="142"/>
      <c r="F99" s="5">
        <f t="shared" si="7"/>
        <v>0</v>
      </c>
      <c r="G99" s="142"/>
      <c r="H99" s="142">
        <f t="shared" si="4"/>
        <v>0</v>
      </c>
      <c r="I99" s="142"/>
      <c r="J99" s="10">
        <f t="shared" si="5"/>
        <v>0</v>
      </c>
      <c r="K99" s="142">
        <f t="shared" si="6"/>
        <v>0</v>
      </c>
    </row>
    <row r="100" spans="1:11" x14ac:dyDescent="0.35">
      <c r="A100" s="354"/>
      <c r="B100" s="13" t="s">
        <v>271</v>
      </c>
      <c r="C100" s="2" t="s">
        <v>40</v>
      </c>
      <c r="D100" s="5">
        <f>0.08*D98</f>
        <v>5.76</v>
      </c>
      <c r="E100" s="142"/>
      <c r="F100" s="5">
        <f t="shared" si="7"/>
        <v>0</v>
      </c>
      <c r="G100" s="142"/>
      <c r="H100" s="142">
        <f t="shared" si="4"/>
        <v>0</v>
      </c>
      <c r="I100" s="142"/>
      <c r="J100" s="10">
        <f t="shared" si="5"/>
        <v>0</v>
      </c>
      <c r="K100" s="142">
        <f t="shared" si="6"/>
        <v>0</v>
      </c>
    </row>
    <row r="101" spans="1:11" x14ac:dyDescent="0.35">
      <c r="A101" s="354"/>
      <c r="B101" s="13" t="s">
        <v>272</v>
      </c>
      <c r="C101" s="2" t="s">
        <v>13</v>
      </c>
      <c r="D101" s="5">
        <f>0.009*D98</f>
        <v>0.64799999999999991</v>
      </c>
      <c r="E101" s="142"/>
      <c r="F101" s="5">
        <f t="shared" si="7"/>
        <v>0</v>
      </c>
      <c r="G101" s="142"/>
      <c r="H101" s="142">
        <f t="shared" si="4"/>
        <v>0</v>
      </c>
      <c r="I101" s="142"/>
      <c r="J101" s="10">
        <f t="shared" si="5"/>
        <v>0</v>
      </c>
      <c r="K101" s="142">
        <f t="shared" si="6"/>
        <v>0</v>
      </c>
    </row>
    <row r="102" spans="1:11" x14ac:dyDescent="0.35">
      <c r="A102" s="354"/>
      <c r="B102" s="13" t="s">
        <v>38</v>
      </c>
      <c r="C102" s="2" t="s">
        <v>1</v>
      </c>
      <c r="D102" s="5">
        <f>D98*0.1</f>
        <v>7.2</v>
      </c>
      <c r="E102" s="5"/>
      <c r="F102" s="5">
        <f t="shared" si="7"/>
        <v>0</v>
      </c>
      <c r="G102" s="5"/>
      <c r="H102" s="142">
        <f t="shared" si="4"/>
        <v>0</v>
      </c>
      <c r="I102" s="5"/>
      <c r="J102" s="10">
        <f t="shared" si="5"/>
        <v>0</v>
      </c>
      <c r="K102" s="142">
        <f t="shared" si="6"/>
        <v>0</v>
      </c>
    </row>
    <row r="103" spans="1:11" ht="27" x14ac:dyDescent="0.35">
      <c r="A103" s="354" t="s">
        <v>80</v>
      </c>
      <c r="B103" s="17" t="s">
        <v>47</v>
      </c>
      <c r="C103" s="18" t="s">
        <v>13</v>
      </c>
      <c r="D103" s="20">
        <v>8</v>
      </c>
      <c r="E103" s="139"/>
      <c r="F103" s="5">
        <f t="shared" si="7"/>
        <v>0</v>
      </c>
      <c r="G103" s="139"/>
      <c r="H103" s="142">
        <f t="shared" si="4"/>
        <v>0</v>
      </c>
      <c r="I103" s="139"/>
      <c r="J103" s="10">
        <f t="shared" si="5"/>
        <v>0</v>
      </c>
      <c r="K103" s="142">
        <f t="shared" si="6"/>
        <v>0</v>
      </c>
    </row>
    <row r="104" spans="1:11" x14ac:dyDescent="0.35">
      <c r="A104" s="354"/>
      <c r="B104" s="13" t="s">
        <v>330</v>
      </c>
      <c r="C104" s="2" t="s">
        <v>40</v>
      </c>
      <c r="D104" s="5">
        <f>0.4*D103</f>
        <v>3.2</v>
      </c>
      <c r="E104" s="142"/>
      <c r="F104" s="5">
        <f t="shared" si="7"/>
        <v>0</v>
      </c>
      <c r="G104" s="142"/>
      <c r="H104" s="142">
        <f t="shared" si="4"/>
        <v>0</v>
      </c>
      <c r="I104" s="142"/>
      <c r="J104" s="10">
        <f t="shared" si="5"/>
        <v>0</v>
      </c>
      <c r="K104" s="142">
        <f t="shared" si="6"/>
        <v>0</v>
      </c>
    </row>
    <row r="105" spans="1:11" x14ac:dyDescent="0.35">
      <c r="A105" s="354"/>
      <c r="B105" s="13" t="s">
        <v>331</v>
      </c>
      <c r="C105" s="2" t="s">
        <v>40</v>
      </c>
      <c r="D105" s="5">
        <f>0.08*D103</f>
        <v>0.64</v>
      </c>
      <c r="E105" s="142"/>
      <c r="F105" s="5">
        <f t="shared" si="7"/>
        <v>0</v>
      </c>
      <c r="G105" s="142"/>
      <c r="H105" s="142">
        <f t="shared" si="4"/>
        <v>0</v>
      </c>
      <c r="I105" s="142"/>
      <c r="J105" s="10">
        <f t="shared" si="5"/>
        <v>0</v>
      </c>
      <c r="K105" s="142">
        <f t="shared" si="6"/>
        <v>0</v>
      </c>
    </row>
    <row r="106" spans="1:11" x14ac:dyDescent="0.35">
      <c r="A106" s="354"/>
      <c r="B106" s="13" t="s">
        <v>332</v>
      </c>
      <c r="C106" s="2" t="s">
        <v>13</v>
      </c>
      <c r="D106" s="5">
        <f>0.009*D103</f>
        <v>7.1999999999999995E-2</v>
      </c>
      <c r="E106" s="142"/>
      <c r="F106" s="5">
        <f t="shared" si="7"/>
        <v>0</v>
      </c>
      <c r="G106" s="142"/>
      <c r="H106" s="142">
        <f t="shared" si="4"/>
        <v>0</v>
      </c>
      <c r="I106" s="142"/>
      <c r="J106" s="10">
        <f t="shared" si="5"/>
        <v>0</v>
      </c>
      <c r="K106" s="142">
        <f t="shared" si="6"/>
        <v>0</v>
      </c>
    </row>
    <row r="107" spans="1:11" x14ac:dyDescent="0.35">
      <c r="A107" s="355"/>
      <c r="B107" s="13" t="s">
        <v>38</v>
      </c>
      <c r="C107" s="2" t="s">
        <v>1</v>
      </c>
      <c r="D107" s="5">
        <f>D103*0.1</f>
        <v>0.8</v>
      </c>
      <c r="E107" s="5"/>
      <c r="F107" s="5">
        <f t="shared" si="7"/>
        <v>0</v>
      </c>
      <c r="G107" s="5"/>
      <c r="H107" s="142">
        <f t="shared" si="4"/>
        <v>0</v>
      </c>
      <c r="I107" s="5"/>
      <c r="J107" s="10">
        <f t="shared" si="5"/>
        <v>0</v>
      </c>
      <c r="K107" s="142">
        <f t="shared" si="6"/>
        <v>0</v>
      </c>
    </row>
    <row r="108" spans="1:11" x14ac:dyDescent="0.35">
      <c r="A108" s="353" t="s">
        <v>62</v>
      </c>
      <c r="B108" s="17" t="s">
        <v>52</v>
      </c>
      <c r="C108" s="18" t="s">
        <v>22</v>
      </c>
      <c r="D108" s="20">
        <v>164</v>
      </c>
      <c r="E108" s="20"/>
      <c r="F108" s="5">
        <f t="shared" si="7"/>
        <v>0</v>
      </c>
      <c r="G108" s="7"/>
      <c r="H108" s="142">
        <f t="shared" si="4"/>
        <v>0</v>
      </c>
      <c r="I108" s="7"/>
      <c r="J108" s="10">
        <f t="shared" si="5"/>
        <v>0</v>
      </c>
      <c r="K108" s="142">
        <f t="shared" si="6"/>
        <v>0</v>
      </c>
    </row>
    <row r="109" spans="1:11" x14ac:dyDescent="0.35">
      <c r="A109" s="354"/>
      <c r="B109" s="13" t="s">
        <v>273</v>
      </c>
      <c r="C109" s="2" t="s">
        <v>22</v>
      </c>
      <c r="D109" s="7">
        <f>1.05*D108</f>
        <v>172.20000000000002</v>
      </c>
      <c r="E109" s="7"/>
      <c r="F109" s="5">
        <f t="shared" si="7"/>
        <v>0</v>
      </c>
      <c r="G109" s="7"/>
      <c r="H109" s="142">
        <f t="shared" si="4"/>
        <v>0</v>
      </c>
      <c r="I109" s="7"/>
      <c r="J109" s="10">
        <f t="shared" si="5"/>
        <v>0</v>
      </c>
      <c r="K109" s="142">
        <f t="shared" si="6"/>
        <v>0</v>
      </c>
    </row>
    <row r="110" spans="1:11" x14ac:dyDescent="0.35">
      <c r="A110" s="355"/>
      <c r="B110" s="13" t="s">
        <v>38</v>
      </c>
      <c r="C110" s="2" t="s">
        <v>1</v>
      </c>
      <c r="D110" s="7">
        <f>D108*0.05</f>
        <v>8.2000000000000011</v>
      </c>
      <c r="E110" s="7"/>
      <c r="F110" s="5">
        <f t="shared" si="7"/>
        <v>0</v>
      </c>
      <c r="G110" s="7"/>
      <c r="H110" s="142">
        <f t="shared" si="4"/>
        <v>0</v>
      </c>
      <c r="I110" s="7"/>
      <c r="J110" s="10">
        <f t="shared" si="5"/>
        <v>0</v>
      </c>
      <c r="K110" s="142">
        <f t="shared" si="6"/>
        <v>0</v>
      </c>
    </row>
    <row r="111" spans="1:11" ht="20.149999999999999" customHeight="1" x14ac:dyDescent="0.35">
      <c r="A111" s="297"/>
      <c r="B111" s="298" t="s">
        <v>81</v>
      </c>
      <c r="C111" s="299"/>
      <c r="D111" s="300"/>
      <c r="E111" s="300"/>
      <c r="F111" s="279">
        <f t="shared" si="7"/>
        <v>0</v>
      </c>
      <c r="G111" s="300"/>
      <c r="H111" s="279">
        <f t="shared" si="4"/>
        <v>0</v>
      </c>
      <c r="I111" s="300"/>
      <c r="J111" s="295">
        <f t="shared" si="5"/>
        <v>0</v>
      </c>
      <c r="K111" s="279">
        <f t="shared" si="6"/>
        <v>0</v>
      </c>
    </row>
    <row r="112" spans="1:11" x14ac:dyDescent="0.35">
      <c r="A112" s="353" t="s">
        <v>53</v>
      </c>
      <c r="B112" s="17" t="s">
        <v>54</v>
      </c>
      <c r="C112" s="18" t="s">
        <v>13</v>
      </c>
      <c r="D112" s="19">
        <f>D11</f>
        <v>100</v>
      </c>
      <c r="E112" s="142"/>
      <c r="F112" s="5">
        <f t="shared" si="7"/>
        <v>0</v>
      </c>
      <c r="G112" s="142"/>
      <c r="H112" s="142">
        <f t="shared" si="4"/>
        <v>0</v>
      </c>
      <c r="I112" s="142"/>
      <c r="J112" s="10">
        <f t="shared" si="5"/>
        <v>0</v>
      </c>
      <c r="K112" s="142">
        <f t="shared" si="6"/>
        <v>0</v>
      </c>
    </row>
    <row r="113" spans="1:11" x14ac:dyDescent="0.35">
      <c r="A113" s="354"/>
      <c r="B113" s="13" t="s">
        <v>55</v>
      </c>
      <c r="C113" s="2" t="s">
        <v>13</v>
      </c>
      <c r="D113" s="142">
        <f>D112</f>
        <v>100</v>
      </c>
      <c r="E113" s="142"/>
      <c r="F113" s="5">
        <f t="shared" si="7"/>
        <v>0</v>
      </c>
      <c r="G113" s="142"/>
      <c r="H113" s="142">
        <f t="shared" si="4"/>
        <v>0</v>
      </c>
      <c r="I113" s="142"/>
      <c r="J113" s="10">
        <f t="shared" si="5"/>
        <v>0</v>
      </c>
      <c r="K113" s="142">
        <f t="shared" si="6"/>
        <v>0</v>
      </c>
    </row>
    <row r="114" spans="1:11" x14ac:dyDescent="0.35">
      <c r="A114" s="354"/>
      <c r="B114" s="13" t="s">
        <v>38</v>
      </c>
      <c r="C114" s="2" t="s">
        <v>1</v>
      </c>
      <c r="D114" s="142">
        <f>D112*0.03</f>
        <v>3</v>
      </c>
      <c r="E114" s="142"/>
      <c r="F114" s="5">
        <f t="shared" si="7"/>
        <v>0</v>
      </c>
      <c r="G114" s="142"/>
      <c r="H114" s="142">
        <f t="shared" si="4"/>
        <v>0</v>
      </c>
      <c r="I114" s="142"/>
      <c r="J114" s="10">
        <f t="shared" si="5"/>
        <v>0</v>
      </c>
      <c r="K114" s="142">
        <f t="shared" si="6"/>
        <v>0</v>
      </c>
    </row>
    <row r="115" spans="1:11" x14ac:dyDescent="0.35">
      <c r="A115" s="355"/>
      <c r="B115" s="13" t="s">
        <v>134</v>
      </c>
      <c r="C115" s="2" t="s">
        <v>13</v>
      </c>
      <c r="D115" s="5">
        <f>D11</f>
        <v>100</v>
      </c>
      <c r="E115" s="142"/>
      <c r="F115" s="5">
        <f t="shared" si="7"/>
        <v>0</v>
      </c>
      <c r="G115" s="142"/>
      <c r="H115" s="142">
        <f t="shared" si="4"/>
        <v>0</v>
      </c>
      <c r="I115" s="142"/>
      <c r="J115" s="10">
        <f t="shared" si="5"/>
        <v>0</v>
      </c>
      <c r="K115" s="142">
        <f t="shared" si="6"/>
        <v>0</v>
      </c>
    </row>
    <row r="116" spans="1:11" x14ac:dyDescent="0.35">
      <c r="A116" s="353" t="s">
        <v>171</v>
      </c>
      <c r="B116" s="17" t="s">
        <v>82</v>
      </c>
      <c r="C116" s="18" t="s">
        <v>13</v>
      </c>
      <c r="D116" s="19">
        <v>133</v>
      </c>
      <c r="E116" s="142"/>
      <c r="F116" s="5">
        <f t="shared" si="7"/>
        <v>0</v>
      </c>
      <c r="G116" s="142"/>
      <c r="H116" s="142">
        <f t="shared" si="4"/>
        <v>0</v>
      </c>
      <c r="I116" s="142"/>
      <c r="J116" s="10">
        <f t="shared" si="5"/>
        <v>0</v>
      </c>
      <c r="K116" s="142">
        <f t="shared" si="6"/>
        <v>0</v>
      </c>
    </row>
    <row r="117" spans="1:11" x14ac:dyDescent="0.35">
      <c r="A117" s="354"/>
      <c r="B117" s="13" t="s">
        <v>55</v>
      </c>
      <c r="C117" s="2" t="s">
        <v>13</v>
      </c>
      <c r="D117" s="5">
        <f>D116</f>
        <v>133</v>
      </c>
      <c r="E117" s="142"/>
      <c r="F117" s="5">
        <f t="shared" si="7"/>
        <v>0</v>
      </c>
      <c r="G117" s="142"/>
      <c r="H117" s="142">
        <f t="shared" si="4"/>
        <v>0</v>
      </c>
      <c r="I117" s="142"/>
      <c r="J117" s="10">
        <f t="shared" si="5"/>
        <v>0</v>
      </c>
      <c r="K117" s="142">
        <f t="shared" si="6"/>
        <v>0</v>
      </c>
    </row>
    <row r="118" spans="1:11" x14ac:dyDescent="0.35">
      <c r="A118" s="354"/>
      <c r="B118" s="13" t="s">
        <v>38</v>
      </c>
      <c r="C118" s="2" t="s">
        <v>1</v>
      </c>
      <c r="D118" s="5">
        <f>D116*0.03</f>
        <v>3.9899999999999998</v>
      </c>
      <c r="E118" s="142"/>
      <c r="F118" s="5">
        <f t="shared" si="7"/>
        <v>0</v>
      </c>
      <c r="G118" s="142"/>
      <c r="H118" s="142">
        <f t="shared" si="4"/>
        <v>0</v>
      </c>
      <c r="I118" s="142"/>
      <c r="J118" s="10">
        <f t="shared" si="5"/>
        <v>0</v>
      </c>
      <c r="K118" s="142">
        <f t="shared" si="6"/>
        <v>0</v>
      </c>
    </row>
    <row r="119" spans="1:11" x14ac:dyDescent="0.35">
      <c r="A119" s="355"/>
      <c r="B119" s="13" t="s">
        <v>56</v>
      </c>
      <c r="C119" s="2" t="s">
        <v>13</v>
      </c>
      <c r="D119" s="5">
        <f>133-133*8%</f>
        <v>122.36</v>
      </c>
      <c r="E119" s="142"/>
      <c r="F119" s="5">
        <f t="shared" si="7"/>
        <v>0</v>
      </c>
      <c r="G119" s="142"/>
      <c r="H119" s="142">
        <f t="shared" si="4"/>
        <v>0</v>
      </c>
      <c r="I119" s="142"/>
      <c r="J119" s="10">
        <f t="shared" si="5"/>
        <v>0</v>
      </c>
      <c r="K119" s="142">
        <f t="shared" si="6"/>
        <v>0</v>
      </c>
    </row>
    <row r="120" spans="1:11" ht="20.149999999999999" customHeight="1" x14ac:dyDescent="0.35">
      <c r="A120" s="297"/>
      <c r="B120" s="298" t="s">
        <v>169</v>
      </c>
      <c r="C120" s="299"/>
      <c r="D120" s="300"/>
      <c r="E120" s="300"/>
      <c r="F120" s="279">
        <f t="shared" si="7"/>
        <v>0</v>
      </c>
      <c r="G120" s="300"/>
      <c r="H120" s="279">
        <f t="shared" si="4"/>
        <v>0</v>
      </c>
      <c r="I120" s="300"/>
      <c r="J120" s="295">
        <f t="shared" si="5"/>
        <v>0</v>
      </c>
      <c r="K120" s="279">
        <f t="shared" si="6"/>
        <v>0</v>
      </c>
    </row>
    <row r="121" spans="1:11" ht="40.5" x14ac:dyDescent="0.35">
      <c r="A121" s="220" t="s">
        <v>64</v>
      </c>
      <c r="B121" s="219" t="s">
        <v>333</v>
      </c>
      <c r="C121" s="217" t="s">
        <v>13</v>
      </c>
      <c r="D121" s="218">
        <f>D9</f>
        <v>92.4</v>
      </c>
      <c r="E121" s="213"/>
      <c r="F121" s="213">
        <f t="shared" si="7"/>
        <v>0</v>
      </c>
      <c r="G121" s="213"/>
      <c r="H121" s="213">
        <f t="shared" si="4"/>
        <v>0</v>
      </c>
      <c r="I121" s="213"/>
      <c r="J121" s="214">
        <f t="shared" si="5"/>
        <v>0</v>
      </c>
      <c r="K121" s="213">
        <f t="shared" si="6"/>
        <v>0</v>
      </c>
    </row>
    <row r="122" spans="1:11" ht="40.5" x14ac:dyDescent="0.35">
      <c r="A122" s="220" t="s">
        <v>65</v>
      </c>
      <c r="B122" s="219" t="s">
        <v>334</v>
      </c>
      <c r="C122" s="217" t="s">
        <v>13</v>
      </c>
      <c r="D122" s="218">
        <f>D10</f>
        <v>23.2</v>
      </c>
      <c r="E122" s="213"/>
      <c r="F122" s="213">
        <f t="shared" si="7"/>
        <v>0</v>
      </c>
      <c r="G122" s="213"/>
      <c r="H122" s="213">
        <f t="shared" si="4"/>
        <v>0</v>
      </c>
      <c r="I122" s="213"/>
      <c r="J122" s="214">
        <f t="shared" si="5"/>
        <v>0</v>
      </c>
      <c r="K122" s="213">
        <f t="shared" si="6"/>
        <v>0</v>
      </c>
    </row>
    <row r="123" spans="1:11" ht="27" x14ac:dyDescent="0.35">
      <c r="A123" s="353" t="s">
        <v>66</v>
      </c>
      <c r="B123" s="89" t="s">
        <v>335</v>
      </c>
      <c r="C123" s="18" t="s">
        <v>13</v>
      </c>
      <c r="D123" s="90">
        <f>0.8*2*9</f>
        <v>14.4</v>
      </c>
      <c r="E123" s="91"/>
      <c r="F123" s="5">
        <f t="shared" si="7"/>
        <v>0</v>
      </c>
      <c r="G123" s="91"/>
      <c r="H123" s="142">
        <f t="shared" si="4"/>
        <v>0</v>
      </c>
      <c r="I123" s="91"/>
      <c r="J123" s="10">
        <f t="shared" si="5"/>
        <v>0</v>
      </c>
      <c r="K123" s="142">
        <f t="shared" si="6"/>
        <v>0</v>
      </c>
    </row>
    <row r="124" spans="1:11" x14ac:dyDescent="0.35">
      <c r="A124" s="354"/>
      <c r="B124" s="13" t="s">
        <v>277</v>
      </c>
      <c r="C124" s="2" t="s">
        <v>22</v>
      </c>
      <c r="D124" s="5">
        <v>40</v>
      </c>
      <c r="E124" s="5"/>
      <c r="F124" s="5">
        <f t="shared" si="7"/>
        <v>0</v>
      </c>
      <c r="G124" s="142"/>
      <c r="H124" s="142">
        <f t="shared" si="4"/>
        <v>0</v>
      </c>
      <c r="I124" s="142"/>
      <c r="J124" s="10">
        <f t="shared" si="5"/>
        <v>0</v>
      </c>
      <c r="K124" s="142">
        <f t="shared" si="6"/>
        <v>0</v>
      </c>
    </row>
    <row r="125" spans="1:11" x14ac:dyDescent="0.35">
      <c r="A125" s="354"/>
      <c r="B125" s="13" t="s">
        <v>196</v>
      </c>
      <c r="C125" s="2" t="s">
        <v>174</v>
      </c>
      <c r="D125" s="5">
        <v>5</v>
      </c>
      <c r="E125" s="5"/>
      <c r="F125" s="5">
        <f t="shared" si="7"/>
        <v>0</v>
      </c>
      <c r="G125" s="142"/>
      <c r="H125" s="142">
        <f t="shared" si="4"/>
        <v>0</v>
      </c>
      <c r="I125" s="142"/>
      <c r="J125" s="10">
        <f t="shared" si="5"/>
        <v>0</v>
      </c>
      <c r="K125" s="142">
        <f t="shared" si="6"/>
        <v>0</v>
      </c>
    </row>
    <row r="126" spans="1:11" x14ac:dyDescent="0.35">
      <c r="A126" s="355"/>
      <c r="B126" s="13" t="s">
        <v>38</v>
      </c>
      <c r="C126" s="2" t="s">
        <v>1</v>
      </c>
      <c r="D126" s="5">
        <f>D121*0.2+D122*0.2+D123*0.2</f>
        <v>26</v>
      </c>
      <c r="E126" s="5"/>
      <c r="F126" s="5">
        <f t="shared" si="7"/>
        <v>0</v>
      </c>
      <c r="G126" s="142"/>
      <c r="H126" s="142">
        <f t="shared" si="4"/>
        <v>0</v>
      </c>
      <c r="I126" s="142"/>
      <c r="J126" s="10">
        <f t="shared" si="5"/>
        <v>0</v>
      </c>
      <c r="K126" s="142">
        <f t="shared" si="6"/>
        <v>0</v>
      </c>
    </row>
    <row r="127" spans="1:11" ht="27" x14ac:dyDescent="0.35">
      <c r="A127" s="353" t="s">
        <v>136</v>
      </c>
      <c r="B127" s="17" t="s">
        <v>278</v>
      </c>
      <c r="C127" s="18" t="s">
        <v>22</v>
      </c>
      <c r="D127" s="19">
        <f>D27</f>
        <v>90</v>
      </c>
      <c r="E127" s="5"/>
      <c r="F127" s="5">
        <f t="shared" si="7"/>
        <v>0</v>
      </c>
      <c r="G127" s="142"/>
      <c r="H127" s="142">
        <f t="shared" si="4"/>
        <v>0</v>
      </c>
      <c r="I127" s="142"/>
      <c r="J127" s="10">
        <f t="shared" si="5"/>
        <v>0</v>
      </c>
      <c r="K127" s="142">
        <f t="shared" si="6"/>
        <v>0</v>
      </c>
    </row>
    <row r="128" spans="1:11" x14ac:dyDescent="0.35">
      <c r="A128" s="354"/>
      <c r="B128" s="13" t="s">
        <v>196</v>
      </c>
      <c r="C128" s="2" t="s">
        <v>174</v>
      </c>
      <c r="D128" s="5">
        <v>5</v>
      </c>
      <c r="E128" s="5"/>
      <c r="F128" s="5">
        <f t="shared" si="7"/>
        <v>0</v>
      </c>
      <c r="G128" s="142"/>
      <c r="H128" s="142">
        <f t="shared" si="4"/>
        <v>0</v>
      </c>
      <c r="I128" s="142"/>
      <c r="J128" s="10">
        <f t="shared" si="5"/>
        <v>0</v>
      </c>
      <c r="K128" s="142">
        <f t="shared" si="6"/>
        <v>0</v>
      </c>
    </row>
    <row r="129" spans="1:11" x14ac:dyDescent="0.35">
      <c r="A129" s="355"/>
      <c r="B129" s="13" t="s">
        <v>38</v>
      </c>
      <c r="C129" s="2" t="s">
        <v>1</v>
      </c>
      <c r="D129" s="7">
        <f>D127*0.1</f>
        <v>9</v>
      </c>
      <c r="E129" s="7"/>
      <c r="F129" s="5">
        <f t="shared" si="7"/>
        <v>0</v>
      </c>
      <c r="G129" s="7"/>
      <c r="H129" s="142">
        <f t="shared" si="4"/>
        <v>0</v>
      </c>
      <c r="I129" s="7"/>
      <c r="J129" s="10">
        <f t="shared" si="5"/>
        <v>0</v>
      </c>
      <c r="K129" s="142">
        <f t="shared" si="6"/>
        <v>0</v>
      </c>
    </row>
    <row r="130" spans="1:11" ht="40.5" x14ac:dyDescent="0.35">
      <c r="A130" s="166" t="s">
        <v>190</v>
      </c>
      <c r="B130" s="27" t="s">
        <v>79</v>
      </c>
      <c r="C130" s="28" t="s">
        <v>16</v>
      </c>
      <c r="D130" s="20">
        <v>47</v>
      </c>
      <c r="E130" s="7"/>
      <c r="F130" s="7">
        <f t="shared" si="7"/>
        <v>0</v>
      </c>
      <c r="G130" s="139"/>
      <c r="H130" s="142">
        <f t="shared" si="4"/>
        <v>0</v>
      </c>
      <c r="I130" s="139"/>
      <c r="J130" s="10">
        <f t="shared" si="5"/>
        <v>0</v>
      </c>
      <c r="K130" s="142">
        <f t="shared" si="6"/>
        <v>0</v>
      </c>
    </row>
    <row r="131" spans="1:11" ht="20.149999999999999" customHeight="1" x14ac:dyDescent="0.35">
      <c r="A131" s="311"/>
      <c r="B131" s="298" t="s">
        <v>366</v>
      </c>
      <c r="C131" s="312"/>
      <c r="D131" s="313"/>
      <c r="E131" s="279"/>
      <c r="F131" s="279">
        <f t="shared" si="7"/>
        <v>0</v>
      </c>
      <c r="G131" s="279"/>
      <c r="H131" s="279">
        <f t="shared" si="4"/>
        <v>0</v>
      </c>
      <c r="I131" s="279"/>
      <c r="J131" s="295">
        <f t="shared" si="5"/>
        <v>0</v>
      </c>
      <c r="K131" s="279">
        <f t="shared" si="6"/>
        <v>0</v>
      </c>
    </row>
    <row r="132" spans="1:11" ht="27" x14ac:dyDescent="0.35">
      <c r="A132" s="220" t="s">
        <v>137</v>
      </c>
      <c r="B132" s="215" t="s">
        <v>57</v>
      </c>
      <c r="C132" s="210" t="s">
        <v>20</v>
      </c>
      <c r="D132" s="213">
        <v>23</v>
      </c>
      <c r="E132" s="213"/>
      <c r="F132" s="213">
        <f t="shared" si="7"/>
        <v>0</v>
      </c>
      <c r="G132" s="213"/>
      <c r="H132" s="213">
        <f t="shared" si="4"/>
        <v>0</v>
      </c>
      <c r="I132" s="213"/>
      <c r="J132" s="214">
        <f t="shared" si="5"/>
        <v>0</v>
      </c>
      <c r="K132" s="213">
        <f t="shared" si="6"/>
        <v>0</v>
      </c>
    </row>
    <row r="133" spans="1:11" ht="27" x14ac:dyDescent="0.35">
      <c r="A133" s="70" t="s">
        <v>191</v>
      </c>
      <c r="B133" s="23" t="s">
        <v>279</v>
      </c>
      <c r="C133" s="2" t="s">
        <v>20</v>
      </c>
      <c r="D133" s="5">
        <v>1</v>
      </c>
      <c r="E133" s="5"/>
      <c r="F133" s="5">
        <f t="shared" si="7"/>
        <v>0</v>
      </c>
      <c r="G133" s="142"/>
      <c r="H133" s="142">
        <f t="shared" si="4"/>
        <v>0</v>
      </c>
      <c r="I133" s="142"/>
      <c r="J133" s="10">
        <f t="shared" si="5"/>
        <v>0</v>
      </c>
      <c r="K133" s="142">
        <f t="shared" si="6"/>
        <v>0</v>
      </c>
    </row>
    <row r="134" spans="1:11" x14ac:dyDescent="0.35">
      <c r="A134" s="224" t="s">
        <v>192</v>
      </c>
      <c r="B134" s="169" t="s">
        <v>138</v>
      </c>
      <c r="C134" s="186" t="s">
        <v>20</v>
      </c>
      <c r="D134" s="187">
        <v>10</v>
      </c>
      <c r="E134" s="187"/>
      <c r="F134" s="187">
        <f t="shared" si="7"/>
        <v>0</v>
      </c>
      <c r="G134" s="187"/>
      <c r="H134" s="187">
        <f t="shared" si="4"/>
        <v>0</v>
      </c>
      <c r="I134" s="187"/>
      <c r="J134" s="188">
        <f t="shared" si="5"/>
        <v>0</v>
      </c>
      <c r="K134" s="187">
        <f t="shared" si="6"/>
        <v>0</v>
      </c>
    </row>
    <row r="135" spans="1:11" x14ac:dyDescent="0.35">
      <c r="A135" s="70" t="s">
        <v>193</v>
      </c>
      <c r="B135" s="13" t="s">
        <v>280</v>
      </c>
      <c r="C135" s="2" t="s">
        <v>20</v>
      </c>
      <c r="D135" s="5">
        <v>17</v>
      </c>
      <c r="E135" s="5"/>
      <c r="F135" s="5">
        <f t="shared" si="7"/>
        <v>0</v>
      </c>
      <c r="G135" s="142"/>
      <c r="H135" s="142">
        <f t="shared" ref="H135:H162" si="8">G135*D135</f>
        <v>0</v>
      </c>
      <c r="I135" s="142"/>
      <c r="J135" s="10">
        <f t="shared" ref="J135:J162" si="9">I135*D135</f>
        <v>0</v>
      </c>
      <c r="K135" s="142">
        <f t="shared" ref="K135:K162" si="10">J135+H135+F135</f>
        <v>0</v>
      </c>
    </row>
    <row r="136" spans="1:11" x14ac:dyDescent="0.35">
      <c r="A136" s="70" t="s">
        <v>194</v>
      </c>
      <c r="B136" s="13" t="s">
        <v>204</v>
      </c>
      <c r="C136" s="2" t="s">
        <v>174</v>
      </c>
      <c r="D136" s="5">
        <v>27</v>
      </c>
      <c r="E136" s="5"/>
      <c r="F136" s="5">
        <f t="shared" si="7"/>
        <v>0</v>
      </c>
      <c r="G136" s="142"/>
      <c r="H136" s="142">
        <f t="shared" si="8"/>
        <v>0</v>
      </c>
      <c r="I136" s="142"/>
      <c r="J136" s="10">
        <f t="shared" si="9"/>
        <v>0</v>
      </c>
      <c r="K136" s="142">
        <f t="shared" si="10"/>
        <v>0</v>
      </c>
    </row>
    <row r="137" spans="1:11" x14ac:dyDescent="0.35">
      <c r="A137" s="70" t="s">
        <v>195</v>
      </c>
      <c r="B137" s="13" t="s">
        <v>206</v>
      </c>
      <c r="C137" s="2" t="s">
        <v>207</v>
      </c>
      <c r="D137" s="5">
        <v>82</v>
      </c>
      <c r="E137" s="5"/>
      <c r="F137" s="5">
        <f t="shared" si="7"/>
        <v>0</v>
      </c>
      <c r="G137" s="142"/>
      <c r="H137" s="142">
        <f t="shared" si="8"/>
        <v>0</v>
      </c>
      <c r="I137" s="142"/>
      <c r="J137" s="10">
        <f t="shared" si="9"/>
        <v>0</v>
      </c>
      <c r="K137" s="142">
        <f t="shared" si="10"/>
        <v>0</v>
      </c>
    </row>
    <row r="138" spans="1:11" x14ac:dyDescent="0.35">
      <c r="A138" s="70" t="s">
        <v>197</v>
      </c>
      <c r="B138" s="13" t="s">
        <v>209</v>
      </c>
      <c r="C138" s="2" t="s">
        <v>207</v>
      </c>
      <c r="D138" s="5">
        <v>40</v>
      </c>
      <c r="E138" s="5"/>
      <c r="F138" s="5">
        <f t="shared" si="7"/>
        <v>0</v>
      </c>
      <c r="G138" s="142"/>
      <c r="H138" s="142">
        <f t="shared" si="8"/>
        <v>0</v>
      </c>
      <c r="I138" s="142"/>
      <c r="J138" s="10">
        <f t="shared" si="9"/>
        <v>0</v>
      </c>
      <c r="K138" s="142">
        <f t="shared" si="10"/>
        <v>0</v>
      </c>
    </row>
    <row r="139" spans="1:11" ht="27" x14ac:dyDescent="0.35">
      <c r="A139" s="70" t="s">
        <v>199</v>
      </c>
      <c r="B139" s="13" t="s">
        <v>211</v>
      </c>
      <c r="C139" s="2" t="s">
        <v>207</v>
      </c>
      <c r="D139" s="5">
        <v>80</v>
      </c>
      <c r="E139" s="5"/>
      <c r="F139" s="5">
        <f t="shared" si="7"/>
        <v>0</v>
      </c>
      <c r="G139" s="142"/>
      <c r="H139" s="142">
        <f t="shared" si="8"/>
        <v>0</v>
      </c>
      <c r="I139" s="142"/>
      <c r="J139" s="10">
        <f t="shared" si="9"/>
        <v>0</v>
      </c>
      <c r="K139" s="142">
        <f t="shared" si="10"/>
        <v>0</v>
      </c>
    </row>
    <row r="140" spans="1:11" x14ac:dyDescent="0.35">
      <c r="A140" s="70" t="s">
        <v>200</v>
      </c>
      <c r="B140" s="13" t="s">
        <v>213</v>
      </c>
      <c r="C140" s="2" t="s">
        <v>174</v>
      </c>
      <c r="D140" s="5">
        <v>32</v>
      </c>
      <c r="E140" s="5"/>
      <c r="F140" s="5">
        <f t="shared" si="7"/>
        <v>0</v>
      </c>
      <c r="G140" s="142"/>
      <c r="H140" s="142">
        <f t="shared" si="8"/>
        <v>0</v>
      </c>
      <c r="I140" s="142"/>
      <c r="J140" s="10">
        <f t="shared" si="9"/>
        <v>0</v>
      </c>
      <c r="K140" s="142">
        <f t="shared" si="10"/>
        <v>0</v>
      </c>
    </row>
    <row r="141" spans="1:11" x14ac:dyDescent="0.35">
      <c r="A141" s="70"/>
      <c r="B141" s="23" t="s">
        <v>38</v>
      </c>
      <c r="C141" s="2" t="s">
        <v>1</v>
      </c>
      <c r="D141" s="142">
        <f>(F132+F133+F134+F135+F136+F137+F138+F139+F140)*0.01</f>
        <v>0</v>
      </c>
      <c r="E141" s="5"/>
      <c r="F141" s="5">
        <f t="shared" si="7"/>
        <v>0</v>
      </c>
      <c r="G141" s="142"/>
      <c r="H141" s="142">
        <f t="shared" si="8"/>
        <v>0</v>
      </c>
      <c r="I141" s="142"/>
      <c r="J141" s="10">
        <f t="shared" si="9"/>
        <v>0</v>
      </c>
      <c r="K141" s="142">
        <f t="shared" si="10"/>
        <v>0</v>
      </c>
    </row>
    <row r="142" spans="1:11" ht="20.149999999999999" customHeight="1" x14ac:dyDescent="0.35">
      <c r="A142" s="292"/>
      <c r="B142" s="286" t="s">
        <v>139</v>
      </c>
      <c r="C142" s="293"/>
      <c r="D142" s="294"/>
      <c r="E142" s="289"/>
      <c r="F142" s="279">
        <f t="shared" si="7"/>
        <v>0</v>
      </c>
      <c r="G142" s="289"/>
      <c r="H142" s="279">
        <f t="shared" si="8"/>
        <v>0</v>
      </c>
      <c r="I142" s="289"/>
      <c r="J142" s="295">
        <f t="shared" si="9"/>
        <v>0</v>
      </c>
      <c r="K142" s="279">
        <f t="shared" si="10"/>
        <v>0</v>
      </c>
    </row>
    <row r="143" spans="1:11" x14ac:dyDescent="0.35">
      <c r="A143" s="11" t="s">
        <v>201</v>
      </c>
      <c r="B143" s="24" t="s">
        <v>59</v>
      </c>
      <c r="C143" s="2" t="s">
        <v>16</v>
      </c>
      <c r="D143" s="7">
        <v>124</v>
      </c>
      <c r="E143" s="225"/>
      <c r="F143" s="5">
        <f t="shared" si="7"/>
        <v>0</v>
      </c>
      <c r="G143" s="7"/>
      <c r="H143" s="142">
        <f t="shared" si="8"/>
        <v>0</v>
      </c>
      <c r="I143" s="7"/>
      <c r="J143" s="10">
        <f t="shared" si="9"/>
        <v>0</v>
      </c>
      <c r="K143" s="142">
        <f t="shared" si="10"/>
        <v>0</v>
      </c>
    </row>
    <row r="144" spans="1:11" x14ac:dyDescent="0.35">
      <c r="A144" s="11" t="s">
        <v>202</v>
      </c>
      <c r="B144" s="25" t="s">
        <v>60</v>
      </c>
      <c r="C144" s="2" t="s">
        <v>16</v>
      </c>
      <c r="D144" s="7">
        <v>37</v>
      </c>
      <c r="E144" s="7"/>
      <c r="F144" s="5">
        <f t="shared" si="7"/>
        <v>0</v>
      </c>
      <c r="G144" s="7"/>
      <c r="H144" s="142">
        <f t="shared" si="8"/>
        <v>0</v>
      </c>
      <c r="I144" s="7"/>
      <c r="J144" s="10">
        <f t="shared" si="9"/>
        <v>0</v>
      </c>
      <c r="K144" s="142">
        <f t="shared" si="10"/>
        <v>0</v>
      </c>
    </row>
    <row r="145" spans="1:11" x14ac:dyDescent="0.35">
      <c r="A145" s="11" t="s">
        <v>203</v>
      </c>
      <c r="B145" s="25" t="s">
        <v>84</v>
      </c>
      <c r="C145" s="2" t="s">
        <v>16</v>
      </c>
      <c r="D145" s="7">
        <v>102</v>
      </c>
      <c r="E145" s="7"/>
      <c r="F145" s="5">
        <f t="shared" si="7"/>
        <v>0</v>
      </c>
      <c r="G145" s="7"/>
      <c r="H145" s="142">
        <f t="shared" si="8"/>
        <v>0</v>
      </c>
      <c r="I145" s="7"/>
      <c r="J145" s="10">
        <f t="shared" si="9"/>
        <v>0</v>
      </c>
      <c r="K145" s="142">
        <f t="shared" si="10"/>
        <v>0</v>
      </c>
    </row>
    <row r="146" spans="1:11" x14ac:dyDescent="0.35">
      <c r="A146" s="11" t="s">
        <v>205</v>
      </c>
      <c r="B146" s="25" t="s">
        <v>86</v>
      </c>
      <c r="C146" s="2" t="s">
        <v>16</v>
      </c>
      <c r="D146" s="7">
        <v>61</v>
      </c>
      <c r="E146" s="7"/>
      <c r="F146" s="5">
        <f t="shared" si="7"/>
        <v>0</v>
      </c>
      <c r="G146" s="7"/>
      <c r="H146" s="142">
        <f t="shared" si="8"/>
        <v>0</v>
      </c>
      <c r="I146" s="7"/>
      <c r="J146" s="10">
        <f t="shared" si="9"/>
        <v>0</v>
      </c>
      <c r="K146" s="142">
        <f t="shared" si="10"/>
        <v>0</v>
      </c>
    </row>
    <row r="147" spans="1:11" ht="27" x14ac:dyDescent="0.35">
      <c r="A147" s="11" t="s">
        <v>208</v>
      </c>
      <c r="B147" s="25" t="s">
        <v>220</v>
      </c>
      <c r="C147" s="2" t="s">
        <v>207</v>
      </c>
      <c r="D147" s="7">
        <v>72</v>
      </c>
      <c r="E147" s="7"/>
      <c r="F147" s="5">
        <f t="shared" si="7"/>
        <v>0</v>
      </c>
      <c r="G147" s="7"/>
      <c r="H147" s="142">
        <f t="shared" si="8"/>
        <v>0</v>
      </c>
      <c r="I147" s="7"/>
      <c r="J147" s="10">
        <f t="shared" si="9"/>
        <v>0</v>
      </c>
      <c r="K147" s="142">
        <f t="shared" si="10"/>
        <v>0</v>
      </c>
    </row>
    <row r="148" spans="1:11" x14ac:dyDescent="0.35">
      <c r="A148" s="11" t="s">
        <v>210</v>
      </c>
      <c r="B148" s="25" t="s">
        <v>221</v>
      </c>
      <c r="C148" s="2" t="s">
        <v>207</v>
      </c>
      <c r="D148" s="7">
        <v>28</v>
      </c>
      <c r="E148" s="7"/>
      <c r="F148" s="5">
        <f t="shared" si="7"/>
        <v>0</v>
      </c>
      <c r="G148" s="7"/>
      <c r="H148" s="142">
        <f t="shared" si="8"/>
        <v>0</v>
      </c>
      <c r="I148" s="7"/>
      <c r="J148" s="10">
        <f t="shared" si="9"/>
        <v>0</v>
      </c>
      <c r="K148" s="142">
        <f t="shared" si="10"/>
        <v>0</v>
      </c>
    </row>
    <row r="149" spans="1:11" x14ac:dyDescent="0.35">
      <c r="A149" s="11" t="s">
        <v>212</v>
      </c>
      <c r="B149" s="25" t="s">
        <v>217</v>
      </c>
      <c r="C149" s="2" t="s">
        <v>16</v>
      </c>
      <c r="D149" s="7">
        <v>163</v>
      </c>
      <c r="E149" s="7"/>
      <c r="F149" s="5">
        <f t="shared" si="7"/>
        <v>0</v>
      </c>
      <c r="G149" s="7"/>
      <c r="H149" s="142">
        <f t="shared" si="8"/>
        <v>0</v>
      </c>
      <c r="I149" s="7"/>
      <c r="J149" s="10">
        <f t="shared" si="9"/>
        <v>0</v>
      </c>
      <c r="K149" s="142">
        <f t="shared" si="10"/>
        <v>0</v>
      </c>
    </row>
    <row r="150" spans="1:11" x14ac:dyDescent="0.35">
      <c r="A150" s="11" t="s">
        <v>214</v>
      </c>
      <c r="B150" s="25" t="s">
        <v>218</v>
      </c>
      <c r="C150" s="2" t="s">
        <v>20</v>
      </c>
      <c r="D150" s="7">
        <v>3</v>
      </c>
      <c r="E150" s="7"/>
      <c r="F150" s="5">
        <f t="shared" si="7"/>
        <v>0</v>
      </c>
      <c r="G150" s="7"/>
      <c r="H150" s="142">
        <f t="shared" si="8"/>
        <v>0</v>
      </c>
      <c r="I150" s="7"/>
      <c r="J150" s="10">
        <f t="shared" si="9"/>
        <v>0</v>
      </c>
      <c r="K150" s="142">
        <f t="shared" si="10"/>
        <v>0</v>
      </c>
    </row>
    <row r="151" spans="1:11" x14ac:dyDescent="0.35">
      <c r="A151" s="167" t="s">
        <v>214</v>
      </c>
      <c r="B151" s="25" t="s">
        <v>222</v>
      </c>
      <c r="C151" s="2" t="s">
        <v>207</v>
      </c>
      <c r="D151" s="7">
        <v>90</v>
      </c>
      <c r="E151" s="7"/>
      <c r="F151" s="5">
        <f t="shared" si="7"/>
        <v>0</v>
      </c>
      <c r="G151" s="7"/>
      <c r="H151" s="142">
        <f t="shared" si="8"/>
        <v>0</v>
      </c>
      <c r="I151" s="7"/>
      <c r="J151" s="10">
        <f t="shared" si="9"/>
        <v>0</v>
      </c>
      <c r="K151" s="142">
        <f t="shared" si="10"/>
        <v>0</v>
      </c>
    </row>
    <row r="152" spans="1:11" x14ac:dyDescent="0.35">
      <c r="A152" s="168" t="s">
        <v>336</v>
      </c>
      <c r="B152" s="25" t="s">
        <v>38</v>
      </c>
      <c r="C152" s="2" t="s">
        <v>1</v>
      </c>
      <c r="D152" s="7">
        <v>12</v>
      </c>
      <c r="E152" s="7"/>
      <c r="F152" s="5">
        <f t="shared" si="7"/>
        <v>0</v>
      </c>
      <c r="G152" s="7"/>
      <c r="H152" s="142">
        <f t="shared" si="8"/>
        <v>0</v>
      </c>
      <c r="I152" s="7"/>
      <c r="J152" s="10">
        <f t="shared" si="9"/>
        <v>0</v>
      </c>
      <c r="K152" s="142">
        <f t="shared" si="10"/>
        <v>0</v>
      </c>
    </row>
    <row r="153" spans="1:11" ht="27" x14ac:dyDescent="0.35">
      <c r="A153" s="93">
        <v>43</v>
      </c>
      <c r="B153" s="92" t="s">
        <v>223</v>
      </c>
      <c r="C153" s="93" t="s">
        <v>20</v>
      </c>
      <c r="D153" s="94">
        <v>1</v>
      </c>
      <c r="E153" s="94"/>
      <c r="F153" s="5">
        <f t="shared" si="7"/>
        <v>0</v>
      </c>
      <c r="G153" s="94"/>
      <c r="H153" s="142">
        <f t="shared" si="8"/>
        <v>0</v>
      </c>
      <c r="I153" s="94"/>
      <c r="J153" s="10">
        <f t="shared" si="9"/>
        <v>0</v>
      </c>
      <c r="K153" s="142">
        <f t="shared" si="10"/>
        <v>0</v>
      </c>
    </row>
    <row r="154" spans="1:11" x14ac:dyDescent="0.35">
      <c r="A154" s="93">
        <v>44</v>
      </c>
      <c r="B154" s="95" t="s">
        <v>224</v>
      </c>
      <c r="C154" s="93" t="s">
        <v>20</v>
      </c>
      <c r="D154" s="94">
        <v>38</v>
      </c>
      <c r="E154" s="94"/>
      <c r="F154" s="5">
        <f t="shared" si="7"/>
        <v>0</v>
      </c>
      <c r="G154" s="94"/>
      <c r="H154" s="142">
        <f t="shared" si="8"/>
        <v>0</v>
      </c>
      <c r="I154" s="94"/>
      <c r="J154" s="10">
        <f t="shared" si="9"/>
        <v>0</v>
      </c>
      <c r="K154" s="142">
        <f t="shared" si="10"/>
        <v>0</v>
      </c>
    </row>
    <row r="155" spans="1:11" x14ac:dyDescent="0.35">
      <c r="A155" s="93">
        <v>45</v>
      </c>
      <c r="B155" s="95" t="s">
        <v>225</v>
      </c>
      <c r="C155" s="93" t="s">
        <v>20</v>
      </c>
      <c r="D155" s="94">
        <v>5</v>
      </c>
      <c r="E155" s="94"/>
      <c r="F155" s="5">
        <f t="shared" si="7"/>
        <v>0</v>
      </c>
      <c r="G155" s="94"/>
      <c r="H155" s="142">
        <f t="shared" si="8"/>
        <v>0</v>
      </c>
      <c r="I155" s="94"/>
      <c r="J155" s="10">
        <f t="shared" si="9"/>
        <v>0</v>
      </c>
      <c r="K155" s="142">
        <f t="shared" si="10"/>
        <v>0</v>
      </c>
    </row>
    <row r="156" spans="1:11" x14ac:dyDescent="0.35">
      <c r="A156" s="93">
        <v>46</v>
      </c>
      <c r="B156" s="95" t="s">
        <v>226</v>
      </c>
      <c r="C156" s="93" t="s">
        <v>20</v>
      </c>
      <c r="D156" s="94">
        <v>5</v>
      </c>
      <c r="E156" s="94"/>
      <c r="F156" s="5">
        <f t="shared" si="7"/>
        <v>0</v>
      </c>
      <c r="G156" s="94"/>
      <c r="H156" s="142">
        <f t="shared" si="8"/>
        <v>0</v>
      </c>
      <c r="I156" s="94"/>
      <c r="J156" s="10">
        <f t="shared" si="9"/>
        <v>0</v>
      </c>
      <c r="K156" s="142">
        <f t="shared" si="10"/>
        <v>0</v>
      </c>
    </row>
    <row r="157" spans="1:11" x14ac:dyDescent="0.35">
      <c r="A157" s="93">
        <v>47</v>
      </c>
      <c r="B157" s="96" t="s">
        <v>227</v>
      </c>
      <c r="C157" s="93" t="s">
        <v>207</v>
      </c>
      <c r="D157" s="94">
        <v>650</v>
      </c>
      <c r="E157" s="94"/>
      <c r="F157" s="5">
        <f t="shared" si="7"/>
        <v>0</v>
      </c>
      <c r="G157" s="94"/>
      <c r="H157" s="142">
        <f t="shared" si="8"/>
        <v>0</v>
      </c>
      <c r="I157" s="94"/>
      <c r="J157" s="10">
        <f t="shared" si="9"/>
        <v>0</v>
      </c>
      <c r="K157" s="142">
        <f t="shared" si="10"/>
        <v>0</v>
      </c>
    </row>
    <row r="158" spans="1:11" x14ac:dyDescent="0.35">
      <c r="A158" s="93"/>
      <c r="B158" s="25" t="s">
        <v>38</v>
      </c>
      <c r="C158" s="2" t="s">
        <v>1</v>
      </c>
      <c r="D158" s="7">
        <f>(E153+E154+E155+E156+E157)*0.05</f>
        <v>0</v>
      </c>
      <c r="E158" s="7"/>
      <c r="F158" s="5">
        <f t="shared" si="7"/>
        <v>0</v>
      </c>
      <c r="G158" s="7"/>
      <c r="H158" s="142">
        <f t="shared" si="8"/>
        <v>0</v>
      </c>
      <c r="I158" s="7"/>
      <c r="J158" s="10">
        <f t="shared" si="9"/>
        <v>0</v>
      </c>
      <c r="K158" s="142">
        <f t="shared" si="10"/>
        <v>0</v>
      </c>
    </row>
    <row r="159" spans="1:11" x14ac:dyDescent="0.35">
      <c r="A159" s="285"/>
      <c r="B159" s="314" t="s">
        <v>140</v>
      </c>
      <c r="C159" s="287"/>
      <c r="D159" s="288"/>
      <c r="E159" s="289"/>
      <c r="F159" s="279">
        <f t="shared" si="7"/>
        <v>0</v>
      </c>
      <c r="G159" s="289"/>
      <c r="H159" s="279">
        <f t="shared" si="8"/>
        <v>0</v>
      </c>
      <c r="I159" s="289"/>
      <c r="J159" s="295">
        <f t="shared" si="9"/>
        <v>0</v>
      </c>
      <c r="K159" s="279">
        <f t="shared" si="10"/>
        <v>0</v>
      </c>
    </row>
    <row r="160" spans="1:11" ht="27" x14ac:dyDescent="0.35">
      <c r="A160" s="11" t="s">
        <v>285</v>
      </c>
      <c r="B160" s="16" t="s">
        <v>283</v>
      </c>
      <c r="C160" s="26" t="s">
        <v>16</v>
      </c>
      <c r="D160" s="7">
        <v>24</v>
      </c>
      <c r="E160" s="7"/>
      <c r="F160" s="5">
        <f t="shared" si="7"/>
        <v>0</v>
      </c>
      <c r="G160" s="7"/>
      <c r="H160" s="142">
        <f t="shared" si="8"/>
        <v>0</v>
      </c>
      <c r="I160" s="7"/>
      <c r="J160" s="10">
        <f t="shared" si="9"/>
        <v>0</v>
      </c>
      <c r="K160" s="142">
        <f t="shared" si="10"/>
        <v>0</v>
      </c>
    </row>
    <row r="161" spans="1:11" x14ac:dyDescent="0.35">
      <c r="A161" s="11" t="s">
        <v>287</v>
      </c>
      <c r="B161" s="16" t="s">
        <v>284</v>
      </c>
      <c r="C161" s="26" t="s">
        <v>22</v>
      </c>
      <c r="D161" s="7">
        <v>32</v>
      </c>
      <c r="E161" s="7"/>
      <c r="F161" s="5">
        <f t="shared" ref="F161:F162" si="11">E161*D161</f>
        <v>0</v>
      </c>
      <c r="G161" s="7"/>
      <c r="H161" s="142">
        <f t="shared" si="8"/>
        <v>0</v>
      </c>
      <c r="I161" s="7"/>
      <c r="J161" s="10">
        <f t="shared" si="9"/>
        <v>0</v>
      </c>
      <c r="K161" s="142">
        <f t="shared" si="10"/>
        <v>0</v>
      </c>
    </row>
    <row r="162" spans="1:11" ht="27" x14ac:dyDescent="0.35">
      <c r="A162" s="11" t="s">
        <v>288</v>
      </c>
      <c r="B162" s="16" t="s">
        <v>286</v>
      </c>
      <c r="C162" s="26" t="s">
        <v>16</v>
      </c>
      <c r="D162" s="7">
        <v>30</v>
      </c>
      <c r="E162" s="7"/>
      <c r="F162" s="5">
        <f t="shared" si="11"/>
        <v>0</v>
      </c>
      <c r="G162" s="7"/>
      <c r="H162" s="142">
        <f t="shared" si="8"/>
        <v>0</v>
      </c>
      <c r="I162" s="7"/>
      <c r="J162" s="10">
        <f t="shared" si="9"/>
        <v>0</v>
      </c>
      <c r="K162" s="142">
        <f t="shared" si="10"/>
        <v>0</v>
      </c>
    </row>
    <row r="163" spans="1:11" ht="20.149999999999999" customHeight="1" x14ac:dyDescent="0.35">
      <c r="A163" s="164"/>
      <c r="B163" s="88" t="s">
        <v>9</v>
      </c>
      <c r="C163" s="104"/>
      <c r="D163" s="7"/>
      <c r="E163" s="7"/>
      <c r="F163" s="105">
        <f>SUM(F33:F162)</f>
        <v>0</v>
      </c>
      <c r="G163" s="105"/>
      <c r="H163" s="105">
        <f>SUM(H9:H162)</f>
        <v>0</v>
      </c>
      <c r="I163" s="105"/>
      <c r="J163" s="105">
        <f>SUM(J9:J162)</f>
        <v>0</v>
      </c>
      <c r="K163" s="129">
        <f>SUM(K9:K162)</f>
        <v>0</v>
      </c>
    </row>
    <row r="164" spans="1:11" x14ac:dyDescent="0.35">
      <c r="A164" s="30"/>
      <c r="B164" s="31" t="s">
        <v>67</v>
      </c>
      <c r="C164" s="32" t="s">
        <v>484</v>
      </c>
      <c r="D164" s="33"/>
      <c r="E164" s="33"/>
      <c r="F164" s="33"/>
      <c r="G164" s="33"/>
      <c r="H164" s="33"/>
      <c r="I164" s="33"/>
      <c r="J164" s="33"/>
      <c r="K164" s="34" t="e">
        <f>F163*C164</f>
        <v>#VALUE!</v>
      </c>
    </row>
    <row r="165" spans="1:11" x14ac:dyDescent="0.35">
      <c r="A165" s="30"/>
      <c r="B165" s="35" t="s">
        <v>9</v>
      </c>
      <c r="C165" s="143"/>
      <c r="D165" s="33"/>
      <c r="E165" s="33"/>
      <c r="F165" s="33"/>
      <c r="G165" s="33"/>
      <c r="H165" s="33"/>
      <c r="I165" s="33"/>
      <c r="J165" s="33"/>
      <c r="K165" s="34" t="e">
        <f>SUM(K163:K164)</f>
        <v>#VALUE!</v>
      </c>
    </row>
    <row r="166" spans="1:11" x14ac:dyDescent="0.35">
      <c r="A166" s="30"/>
      <c r="B166" s="31" t="s">
        <v>68</v>
      </c>
      <c r="C166" s="32" t="s">
        <v>484</v>
      </c>
      <c r="D166" s="33"/>
      <c r="E166" s="33"/>
      <c r="F166" s="33"/>
      <c r="G166" s="33"/>
      <c r="H166" s="33"/>
      <c r="I166" s="33"/>
      <c r="J166" s="33"/>
      <c r="K166" s="34" t="e">
        <f>K165*C166</f>
        <v>#VALUE!</v>
      </c>
    </row>
    <row r="167" spans="1:11" x14ac:dyDescent="0.35">
      <c r="A167" s="30"/>
      <c r="B167" s="35" t="s">
        <v>9</v>
      </c>
      <c r="C167" s="143"/>
      <c r="D167" s="33"/>
      <c r="E167" s="33"/>
      <c r="F167" s="33"/>
      <c r="G167" s="33"/>
      <c r="H167" s="33"/>
      <c r="I167" s="33"/>
      <c r="J167" s="33"/>
      <c r="K167" s="34" t="e">
        <f>SUM(K165:K166)</f>
        <v>#VALUE!</v>
      </c>
    </row>
    <row r="168" spans="1:11" x14ac:dyDescent="0.35">
      <c r="A168" s="30"/>
      <c r="B168" s="31" t="s">
        <v>69</v>
      </c>
      <c r="C168" s="32" t="s">
        <v>484</v>
      </c>
      <c r="D168" s="33"/>
      <c r="E168" s="33"/>
      <c r="F168" s="33"/>
      <c r="G168" s="33"/>
      <c r="H168" s="33"/>
      <c r="I168" s="33"/>
      <c r="J168" s="33"/>
      <c r="K168" s="34" t="e">
        <f>K167*C168</f>
        <v>#VALUE!</v>
      </c>
    </row>
    <row r="169" spans="1:11" x14ac:dyDescent="0.35">
      <c r="A169" s="36"/>
      <c r="B169" s="35" t="s">
        <v>9</v>
      </c>
      <c r="C169" s="143"/>
      <c r="D169" s="33"/>
      <c r="E169" s="33"/>
      <c r="F169" s="33"/>
      <c r="G169" s="33"/>
      <c r="H169" s="33"/>
      <c r="I169" s="33"/>
      <c r="J169" s="33"/>
      <c r="K169" s="34" t="e">
        <f>SUM(K167:K168)</f>
        <v>#VALUE!</v>
      </c>
    </row>
    <row r="170" spans="1:11" x14ac:dyDescent="0.35">
      <c r="A170" s="36"/>
      <c r="B170" s="31" t="s">
        <v>70</v>
      </c>
      <c r="C170" s="37" t="s">
        <v>484</v>
      </c>
      <c r="D170" s="33"/>
      <c r="E170" s="33"/>
      <c r="F170" s="33"/>
      <c r="G170" s="33"/>
      <c r="H170" s="33"/>
      <c r="I170" s="33"/>
      <c r="J170" s="33"/>
      <c r="K170" s="34" t="e">
        <f>K169*C170</f>
        <v>#VALUE!</v>
      </c>
    </row>
    <row r="171" spans="1:11" x14ac:dyDescent="0.35">
      <c r="A171" s="36"/>
      <c r="B171" s="31" t="s">
        <v>71</v>
      </c>
      <c r="C171" s="37">
        <v>0.02</v>
      </c>
      <c r="D171" s="33"/>
      <c r="E171" s="33"/>
      <c r="F171" s="33"/>
      <c r="G171" s="33"/>
      <c r="H171" s="33"/>
      <c r="I171" s="33"/>
      <c r="J171" s="33"/>
      <c r="K171" s="34">
        <f>H163*C171</f>
        <v>0</v>
      </c>
    </row>
    <row r="172" spans="1:11" x14ac:dyDescent="0.35">
      <c r="A172" s="30"/>
      <c r="B172" s="38" t="s">
        <v>9</v>
      </c>
      <c r="C172" s="143"/>
      <c r="D172" s="33"/>
      <c r="E172" s="33"/>
      <c r="F172" s="33"/>
      <c r="G172" s="33"/>
      <c r="H172" s="33"/>
      <c r="I172" s="33"/>
      <c r="J172" s="33"/>
      <c r="K172" s="34" t="e">
        <f>SUM(K169:K171)</f>
        <v>#VALUE!</v>
      </c>
    </row>
    <row r="173" spans="1:11" x14ac:dyDescent="0.35">
      <c r="A173" s="30"/>
      <c r="B173" s="29" t="s">
        <v>72</v>
      </c>
      <c r="C173" s="32">
        <v>0.18</v>
      </c>
      <c r="D173" s="33"/>
      <c r="E173" s="33"/>
      <c r="F173" s="33"/>
      <c r="G173" s="33"/>
      <c r="H173" s="33"/>
      <c r="I173" s="33"/>
      <c r="J173" s="33"/>
      <c r="K173" s="34" t="e">
        <f>K172*C173</f>
        <v>#VALUE!</v>
      </c>
    </row>
    <row r="174" spans="1:11" ht="20.149999999999999" customHeight="1" x14ac:dyDescent="0.4">
      <c r="A174" s="120"/>
      <c r="B174" s="121" t="s">
        <v>156</v>
      </c>
      <c r="C174" s="122"/>
      <c r="D174" s="123"/>
      <c r="E174" s="123"/>
      <c r="F174" s="123"/>
      <c r="G174" s="123"/>
      <c r="H174" s="123"/>
      <c r="I174" s="123"/>
      <c r="J174" s="123"/>
      <c r="K174" s="124" t="e">
        <f>SUM(K172:K173)</f>
        <v>#VALUE!</v>
      </c>
    </row>
  </sheetData>
  <autoFilter ref="A8:O174" xr:uid="{00000000-0009-0000-0000-000005000000}"/>
  <mergeCells count="31">
    <mergeCell ref="A71:A79"/>
    <mergeCell ref="A116:A119"/>
    <mergeCell ref="A123:A126"/>
    <mergeCell ref="A127:A129"/>
    <mergeCell ref="A80:A87"/>
    <mergeCell ref="A89:A97"/>
    <mergeCell ref="A98:A102"/>
    <mergeCell ref="A103:A107"/>
    <mergeCell ref="A108:A110"/>
    <mergeCell ref="A112:A115"/>
    <mergeCell ref="K5:K6"/>
    <mergeCell ref="A32:A35"/>
    <mergeCell ref="A36:A38"/>
    <mergeCell ref="E5:F5"/>
    <mergeCell ref="A68:A70"/>
    <mergeCell ref="A45:A49"/>
    <mergeCell ref="A52:A58"/>
    <mergeCell ref="A59:A62"/>
    <mergeCell ref="A63:A67"/>
    <mergeCell ref="A39:A43"/>
    <mergeCell ref="A5:A6"/>
    <mergeCell ref="B5:B6"/>
    <mergeCell ref="C5:C6"/>
    <mergeCell ref="D5:D6"/>
    <mergeCell ref="G5:H5"/>
    <mergeCell ref="I5:J5"/>
    <mergeCell ref="B1:J1"/>
    <mergeCell ref="B2:J2"/>
    <mergeCell ref="A3:K3"/>
    <mergeCell ref="E4:H4"/>
    <mergeCell ref="I4:J4"/>
  </mergeCells>
  <pageMargins left="0.45" right="0.45" top="0.5" bottom="0.5" header="0.3" footer="0.3"/>
  <pageSetup scale="83" orientation="landscape" r:id="rId1"/>
  <rowBreaks count="1" manualBreakCount="1">
    <brk id="148" max="10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კრებსითი </vt:lpstr>
      <vt:lpstr>I სართ. ეს</vt:lpstr>
      <vt:lpstr>IIსართ.  ეს</vt:lpstr>
      <vt:lpstr>III სართ. ეს</vt:lpstr>
      <vt:lpstr>IV სართ. ეს</vt:lpstr>
      <vt:lpstr>V სართ. ეს</vt:lpstr>
      <vt:lpstr>'I სართ. ეს'!Print_Area</vt:lpstr>
      <vt:lpstr>'III სართ. ეს'!Print_Area</vt:lpstr>
      <vt:lpstr>'IIსართ.  ეს'!Print_Area</vt:lpstr>
      <vt:lpstr>'IV სართ. ეს'!Print_Area</vt:lpstr>
      <vt:lpstr>'V სართ. ეს'!Print_Area</vt:lpstr>
      <vt:lpstr>'კრებსითი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Ana Arkania</cp:lastModifiedBy>
  <cp:lastPrinted>2022-03-14T06:38:26Z</cp:lastPrinted>
  <dcterms:created xsi:type="dcterms:W3CDTF">2015-06-05T18:17:20Z</dcterms:created>
  <dcterms:modified xsi:type="dcterms:W3CDTF">2022-10-24T14:05:01Z</dcterms:modified>
</cp:coreProperties>
</file>